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SingleCells1.xml" ContentType="application/vnd.openxmlformats-officedocument.spreadsheetml.tableSingleCell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ehindertenhilfe\Behindertenhilfe\- Fachbereichsteam -\Wirtschaftliche Angelegenheiten\Kostenbeitragsrechner\2025\SOKI\Kostenbeitragsrechner 2025\SOKI Endversion\"/>
    </mc:Choice>
  </mc:AlternateContent>
  <bookViews>
    <workbookView xWindow="0" yWindow="0" windowWidth="30720" windowHeight="13530" firstSheet="3" activeTab="3"/>
  </bookViews>
  <sheets>
    <sheet name="Einkommen" sheetId="2" state="hidden" r:id="rId1"/>
    <sheet name="Pflegegeld" sheetId="3" state="hidden" r:id="rId2"/>
    <sheet name="Unterhalt" sheetId="4" state="hidden" r:id="rId3"/>
    <sheet name="Eingabeblatt" sheetId="1"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4" l="1"/>
  <c r="C14" i="2" l="1"/>
  <c r="C13" i="2"/>
  <c r="C12" i="2"/>
  <c r="C11" i="2"/>
  <c r="C10" i="2"/>
  <c r="C9" i="2"/>
  <c r="C8" i="2"/>
  <c r="C7" i="2"/>
  <c r="C6" i="2"/>
  <c r="C109" i="4" l="1"/>
  <c r="D93" i="4" s="1"/>
  <c r="C69" i="4"/>
  <c r="C68" i="4"/>
  <c r="C67" i="4"/>
  <c r="G52" i="4"/>
  <c r="G51" i="4"/>
  <c r="G50" i="4"/>
  <c r="G49" i="4"/>
  <c r="G48" i="4"/>
  <c r="G47" i="4"/>
  <c r="G46" i="4"/>
  <c r="G45" i="4"/>
  <c r="G44" i="4"/>
  <c r="H1" i="4"/>
  <c r="H2" i="4"/>
  <c r="H3" i="4"/>
  <c r="H15" i="4" s="1"/>
  <c r="H4" i="4"/>
  <c r="H5" i="4"/>
  <c r="I5" i="4" s="1"/>
  <c r="H6" i="4"/>
  <c r="I6" i="4" s="1"/>
  <c r="C6" i="4"/>
  <c r="D6" i="4" s="1"/>
  <c r="C5" i="4"/>
  <c r="C4" i="4"/>
  <c r="C3" i="4"/>
  <c r="C2" i="4"/>
  <c r="C11" i="3"/>
  <c r="C10" i="3"/>
  <c r="C9" i="3"/>
  <c r="C8" i="3"/>
  <c r="C7" i="3"/>
  <c r="C6" i="3"/>
  <c r="C5" i="3"/>
  <c r="C4" i="3"/>
  <c r="C3" i="3"/>
  <c r="C2" i="3"/>
  <c r="C3" i="2"/>
  <c r="E10" i="2" s="1"/>
  <c r="C2" i="2"/>
  <c r="C60" i="4"/>
  <c r="C59" i="4"/>
  <c r="C58" i="4"/>
  <c r="C57" i="4"/>
  <c r="C56" i="4"/>
  <c r="I2" i="4"/>
  <c r="C23" i="2"/>
  <c r="C17" i="2"/>
  <c r="D37" i="1"/>
  <c r="D25" i="1"/>
  <c r="D4" i="4" l="1"/>
  <c r="I4" i="4"/>
  <c r="I7" i="4" s="1"/>
  <c r="H7" i="4" s="1"/>
  <c r="H12" i="4" s="1"/>
  <c r="H14" i="4" s="1"/>
  <c r="E9" i="2"/>
  <c r="C79" i="4"/>
  <c r="C80" i="4" s="1"/>
  <c r="C70" i="4"/>
  <c r="C76" i="4"/>
  <c r="C93" i="4" s="1"/>
  <c r="C15" i="4"/>
  <c r="C12" i="3"/>
  <c r="E14" i="2"/>
  <c r="C110" i="4"/>
  <c r="H16" i="4"/>
  <c r="D5" i="4"/>
  <c r="D2" i="4"/>
  <c r="D109" i="4"/>
  <c r="E9" i="3"/>
  <c r="E4" i="3"/>
  <c r="E5" i="3"/>
  <c r="E7" i="3"/>
  <c r="E8" i="3"/>
  <c r="E3" i="3"/>
  <c r="E10" i="3"/>
  <c r="E11" i="3"/>
  <c r="E6" i="3"/>
  <c r="C28" i="2"/>
  <c r="E6" i="2"/>
  <c r="C16" i="2" s="1"/>
  <c r="D16" i="2" s="1"/>
  <c r="E11" i="2"/>
  <c r="D23" i="2"/>
  <c r="E12" i="2"/>
  <c r="C24" i="2"/>
  <c r="C25" i="2"/>
  <c r="E7" i="2"/>
  <c r="E13" i="2"/>
  <c r="C26" i="2"/>
  <c r="C27" i="2"/>
  <c r="E8" i="2"/>
  <c r="C13" i="3" l="1"/>
  <c r="D13" i="3" s="1"/>
  <c r="C14" i="3"/>
  <c r="D7" i="4"/>
  <c r="C7" i="4" s="1"/>
  <c r="E16" i="2"/>
  <c r="D15" i="2"/>
  <c r="B18" i="1"/>
  <c r="C97" i="4"/>
  <c r="C98" i="4"/>
  <c r="C94" i="4"/>
  <c r="C90" i="4"/>
  <c r="C87" i="4"/>
  <c r="C78" i="4"/>
  <c r="C82" i="4" s="1"/>
  <c r="D82" i="4" s="1"/>
  <c r="B34" i="1" s="1"/>
  <c r="C92" i="4"/>
  <c r="C96" i="4"/>
  <c r="C95" i="4"/>
  <c r="C89" i="4"/>
  <c r="B93" i="4"/>
  <c r="C83" i="4"/>
  <c r="C88" i="4"/>
  <c r="C91" i="4"/>
  <c r="B14" i="1"/>
  <c r="D25" i="4"/>
  <c r="C111" i="4"/>
  <c r="D87" i="4"/>
  <c r="D30" i="4"/>
  <c r="D94" i="4"/>
  <c r="B87" i="4"/>
  <c r="H18" i="4"/>
  <c r="B94" i="4"/>
  <c r="C16" i="4"/>
  <c r="C12" i="4" l="1"/>
  <c r="C38" i="4" s="1"/>
  <c r="G18" i="4"/>
  <c r="H21" i="4"/>
  <c r="H20" i="4"/>
  <c r="G20" i="4"/>
  <c r="D88" i="4"/>
  <c r="D31" i="4"/>
  <c r="C112" i="4"/>
  <c r="D95" i="4"/>
  <c r="D35" i="4"/>
  <c r="D26" i="4"/>
  <c r="B88" i="4"/>
  <c r="B95" i="4"/>
  <c r="C32" i="4" l="1"/>
  <c r="C37" i="4"/>
  <c r="C27" i="4"/>
  <c r="C25" i="4"/>
  <c r="C34" i="4"/>
  <c r="B25" i="4"/>
  <c r="B30" i="4"/>
  <c r="B35" i="4"/>
  <c r="C31" i="4"/>
  <c r="C29" i="4"/>
  <c r="B31" i="4"/>
  <c r="C26" i="4"/>
  <c r="C30" i="4"/>
  <c r="B26" i="4"/>
  <c r="C28" i="4"/>
  <c r="C36" i="4"/>
  <c r="C35" i="4"/>
  <c r="C33" i="4"/>
  <c r="C19" i="4"/>
  <c r="C14" i="4"/>
  <c r="C18" i="4" s="1"/>
  <c r="D18" i="4" s="1"/>
  <c r="C29" i="1"/>
  <c r="C113" i="4"/>
  <c r="D96" i="4"/>
  <c r="D36" i="4"/>
  <c r="D27" i="4"/>
  <c r="D32" i="4"/>
  <c r="D89" i="4"/>
  <c r="B96" i="4"/>
  <c r="B89" i="4"/>
  <c r="B27" i="4"/>
  <c r="B36" i="4"/>
  <c r="B32" i="4"/>
  <c r="D20" i="4" l="1"/>
  <c r="C20" i="4"/>
  <c r="C21" i="4"/>
  <c r="B29" i="1"/>
  <c r="B37" i="1" s="1"/>
  <c r="B38" i="1" s="1"/>
  <c r="C114" i="4"/>
  <c r="D37" i="4"/>
  <c r="D28" i="4"/>
  <c r="D33" i="4"/>
  <c r="D90" i="4"/>
  <c r="D97" i="4"/>
  <c r="B97" i="4"/>
  <c r="B90" i="4"/>
  <c r="B28" i="4"/>
  <c r="B37" i="4"/>
  <c r="B33" i="4"/>
  <c r="D92" i="4" l="1"/>
  <c r="D34" i="4"/>
  <c r="D91" i="4"/>
  <c r="D98" i="4"/>
  <c r="D38" i="4"/>
  <c r="D29" i="4"/>
  <c r="B98" i="4"/>
  <c r="B91" i="4"/>
  <c r="B92" i="4"/>
  <c r="B34" i="4"/>
  <c r="B29" i="4"/>
  <c r="B38" i="4"/>
</calcChain>
</file>

<file path=xl/comments1.xml><?xml version="1.0" encoding="utf-8"?>
<comments xmlns="http://schemas.openxmlformats.org/spreadsheetml/2006/main">
  <authors>
    <author>U0319309</author>
  </authors>
  <commentList>
    <comment ref="D13" authorId="0" shapeId="0">
      <text>
        <r>
          <rPr>
            <b/>
            <sz val="8"/>
            <color indexed="81"/>
            <rFont val="Tahoma"/>
            <family val="2"/>
          </rPr>
          <t>10% des Pflegegeldes der Stufe 3 müssen übrig bleiben</t>
        </r>
        <r>
          <rPr>
            <sz val="8"/>
            <color indexed="81"/>
            <rFont val="Tahoma"/>
            <family val="2"/>
          </rPr>
          <t xml:space="preserve">
</t>
        </r>
      </text>
    </comment>
  </commentList>
</comments>
</file>

<file path=xl/comments2.xml><?xml version="1.0" encoding="utf-8"?>
<comments xmlns="http://schemas.openxmlformats.org/spreadsheetml/2006/main">
  <authors>
    <author>PÖRNBACHER Christoph</author>
    <author>ALBER Margot</author>
  </authors>
  <commentList>
    <comment ref="B3" authorId="0" shapeId="0">
      <text>
        <r>
          <rPr>
            <sz val="9"/>
            <color indexed="81"/>
            <rFont val="Tahoma"/>
            <family val="2"/>
          </rPr>
          <t xml:space="preserve">In den violetten Felder ist für die zutreffende Leistung ein "j" einzugeben, um für diese den Kostenbeitrag zu berechnen. Es kann immer nur für eine Leistung ein j eingegeben werden.
</t>
        </r>
      </text>
    </comment>
    <comment ref="B22" authorId="0" shapeId="0">
      <text>
        <r>
          <rPr>
            <sz val="9"/>
            <color indexed="81"/>
            <rFont val="Tahoma"/>
            <family val="2"/>
          </rPr>
          <t>In dieser Spalte müssen alle Daten aus Sicht des Vaters eingegeben werden. Die Daten aus Sicht der Mutter sind in der nächsten Spalte einzugeben. Es müssen beide Spalten befüllt werden, um eine Kostenbeitragsverpflichtung sowohl des Vaters als auch der Mutter berechnen zu können.
Ausnahme: § 4 Abs. 5 Kostenbeitrags-Verordnung - die Kostenbeitragspflicht ist bei Inanspruchnahme der Leistungen Tagesbetreuung für Kinder und Jugendliche, Internat und für Vollzeitbegleitetes Wohnen für Kinder und Jugendliche inklusive Tagesstruktur - Sozialpsychiatrie nur aus dem Einkommen des besser verdienenden Elternteiles zu berechnen.</t>
        </r>
      </text>
    </comment>
    <comment ref="C22" authorId="0" shapeId="0">
      <text>
        <r>
          <rPr>
            <sz val="9"/>
            <color indexed="81"/>
            <rFont val="Tahoma"/>
            <family val="2"/>
          </rPr>
          <t>In dieser Spalte müssen alle Daten aus Sicht der Mutter eingegeben werden. Die Daten aus Sicht des Vaters sind in der vorhergehenden Spalte einzugeben. Es müssen beide Spalten befüllt werden, um eine Kostenbeitragsverpflichtung sowohl des Vaters als auch der Mutter berechnen zu können.
Ausnahme: § 4 Abs. 5 Kostenbeitrags-Verordnung - die Kostenbeitragspflicht ist bei Inanspruchnahme der Leistungen Tagesbetreuung für Kinder und Jugendliche, Internat und für Vollzeitbegleitetes Wohnen für Kinder und Jugendliche inklusive Tagesstruktur - Sozialpsychiatrie nur aus dem Einkommen des besser verdienenden Elternteiles zu berechnen.</t>
        </r>
      </text>
    </comment>
    <comment ref="D37" authorId="1" shapeId="0">
      <text>
        <r>
          <rPr>
            <b/>
            <sz val="9"/>
            <color indexed="81"/>
            <rFont val="Tahoma"/>
            <family val="2"/>
          </rPr>
          <t xml:space="preserve">Hinweis für halbtägige Tagesstruktur:
Bei der Berechnung von Halbtagesleistungen wird der Kostenbeitrag bereits halbiert errechnet (siehe Kostenbeitrag pro Einheit), weshalb in diesem Feld Ganztageseinheiten ausgewiesen werden.   </t>
        </r>
      </text>
    </comment>
  </commentList>
</comments>
</file>

<file path=xl/sharedStrings.xml><?xml version="1.0" encoding="utf-8"?>
<sst xmlns="http://schemas.openxmlformats.org/spreadsheetml/2006/main" count="203" uniqueCount="125">
  <si>
    <t>Name:</t>
  </si>
  <si>
    <t>Auszahlungsbetrag Pflegegeld</t>
  </si>
  <si>
    <t>Anzahl der Unterhaltsberechtigten</t>
  </si>
  <si>
    <t>Anmerkungen</t>
  </si>
  <si>
    <t>EINKOMMEN</t>
  </si>
  <si>
    <t>Stunden pro Monat</t>
  </si>
  <si>
    <t>Kostenbeitrag</t>
  </si>
  <si>
    <t>Alleinstehend ohne Unterhaltsverpflichtung</t>
  </si>
  <si>
    <t>1. Unterhaltsberechtigter</t>
  </si>
  <si>
    <t>2. Unterhaltsberechtigter</t>
  </si>
  <si>
    <t>3. Unterhaltsberechtigter</t>
  </si>
  <si>
    <t>4. Unterhaltsberechtigter</t>
  </si>
  <si>
    <t>5. Unterhaltsberechtigter</t>
  </si>
  <si>
    <t>Pflegegeldrest</t>
  </si>
  <si>
    <t>NEU ab 01.01.2025</t>
  </si>
  <si>
    <t>Pflegegeldstufe 1</t>
  </si>
  <si>
    <t>Pflegegeldstufe 2</t>
  </si>
  <si>
    <t>Pflegegeldstufe 3</t>
  </si>
  <si>
    <t>Pflegegeldstufe 4</t>
  </si>
  <si>
    <t>Pflegegeldstufe 5</t>
  </si>
  <si>
    <t>Pflegegeldstufe 6</t>
  </si>
  <si>
    <t>Pflegegeldstufe 7</t>
  </si>
  <si>
    <t>NEU ab 01.01.2024</t>
  </si>
  <si>
    <t>Kostenbeitragsrechner für ambulante und stationäre Leistungen</t>
  </si>
  <si>
    <t xml:space="preserve">Tagesstruktur (BATH, BATI), Berufsvorbereitung (BABV) - halbtägig </t>
  </si>
  <si>
    <t xml:space="preserve">Tagesstruktur (BATH, BATI), Berufsvorbereitung (BABV) </t>
  </si>
  <si>
    <t>Tagesbetreuung für Kinder und Jugendliche (BLE,BLEI,BSE,BSEI)</t>
  </si>
  <si>
    <t>Tagesbetreuung für Kinder und Jugendliche halbtägig</t>
  </si>
  <si>
    <t>Internat (BLI, BLII, BSI, BSII), Vollzeitbegleitetes Wohnen für Kinder und Jugendliche inkl. Tagesstruktur - Sozialpsychiatrie ( PWGJ)</t>
  </si>
  <si>
    <t>Begleitetes Wohnen in einer Wohngemeinschaft (BWG), Begleitetes Wohnen exkl. bzw. inkl. Tagesstruktur - Sozialpsychatrie (PWG, PWGG)</t>
  </si>
  <si>
    <t xml:space="preserve">BATH/BATI in Verbindung mit mobiler Begleitung (BMB) </t>
  </si>
  <si>
    <t>BATH/BATI in Verbindung mit mobiler Begleitung (BMB) halbtägig</t>
  </si>
  <si>
    <t>Kostenbeitrag aus Pflegegeld</t>
  </si>
  <si>
    <t>Kostenbeitrag pro Monat</t>
  </si>
  <si>
    <t>Kostenbeitrag aus eigenem Einkommen</t>
  </si>
  <si>
    <t>mtl. Nettoeinkommen</t>
  </si>
  <si>
    <t>Kostenbeitrag aus Unterhalt</t>
  </si>
  <si>
    <t>a) Kinderunterhalt (Anspruch des behinderten Kindes gegenüber Eltern)</t>
  </si>
  <si>
    <t>Vater</t>
  </si>
  <si>
    <t>Mutter</t>
  </si>
  <si>
    <t>Nettoeinkommen des Verpflichteten (Vater/Mutter)</t>
  </si>
  <si>
    <t>Alter des Maßnahmenempfängers</t>
  </si>
  <si>
    <r>
      <t>Gibt es einen Ehepartner des Unterhaltsverpflichteten? (j/n)</t>
    </r>
    <r>
      <rPr>
        <sz val="12"/>
        <color indexed="10"/>
        <rFont val="Arial"/>
        <family val="2"/>
      </rPr>
      <t>-Pflichtfeld</t>
    </r>
  </si>
  <si>
    <t>Nettoeinkommen des Ehepartners des Unterhaltsverpflichteten</t>
  </si>
  <si>
    <t>Anzahl der weiteren Unterhaltsberechtigten unter 10 Jahren</t>
  </si>
  <si>
    <t>Anzahl der weiteren Unterhaltsberechtigten über 10 Jahren</t>
  </si>
  <si>
    <t>b) Ehegattenunterhalt (Anspruch des Maßnahmenempfängers ohne Einkommen gegenüber Ehegatten)</t>
  </si>
  <si>
    <t>Nettoeinkommen des Verpflichteten</t>
  </si>
  <si>
    <t>Nettoeinkommen des Maßnahmenempfängers</t>
  </si>
  <si>
    <t>Anzahl der weiteren Unterhaltsberechtigten</t>
  </si>
  <si>
    <t>Gesamtkostenbeitrag pro Monat</t>
  </si>
  <si>
    <t>Kostenbeitrag pro Einheit (Arbeitstag, Kalendertag, Halbtag)</t>
  </si>
  <si>
    <t>maßgebende Struktur
gemäß Eingabetabelle</t>
  </si>
  <si>
    <t>Faktor</t>
  </si>
  <si>
    <t>strukturbezogener Kostenbeitrag</t>
  </si>
  <si>
    <t>Halbtagesstruktur</t>
  </si>
  <si>
    <t>Tagesstruktur</t>
  </si>
  <si>
    <t>Wohnstruktur</t>
  </si>
  <si>
    <t>Schule extern</t>
  </si>
  <si>
    <t>Schule extern halbtägig</t>
  </si>
  <si>
    <t>Schule intern</t>
  </si>
  <si>
    <t>Wohngemeinschaften</t>
  </si>
  <si>
    <t>Tagesstruktur iVm BMB</t>
  </si>
  <si>
    <t>Halbtagesstruktur iVm BMB</t>
  </si>
  <si>
    <t>maßgebender Kostenbeitrag</t>
  </si>
  <si>
    <t>Kommentar</t>
  </si>
  <si>
    <t>Suchkriterium für "sverweis"</t>
  </si>
  <si>
    <t>Tagesbetreuung extern</t>
  </si>
  <si>
    <t>Tagesbetreuung extern halbtägig</t>
  </si>
  <si>
    <t>Internat/Wohnen Kinder</t>
  </si>
  <si>
    <t>Kostenbeitrag mit Berücksichtigung von 10%</t>
  </si>
  <si>
    <t>https://www.pv.at/web/pflegegeld</t>
  </si>
  <si>
    <t>Ehepartner</t>
  </si>
  <si>
    <t>Nettoeinkommen des Ehepartners</t>
  </si>
  <si>
    <t>Unterhalt</t>
  </si>
  <si>
    <t>Einkommen - Kostenbeitrag</t>
  </si>
  <si>
    <t>Summe Unterhaltsberechtigter 
(=Maßnahmenempfänger + Ehepartner ohne Einkommen + weitere Unterhaltsberechtigte)</t>
  </si>
  <si>
    <t>maßgebendes Existenzminimum
gemäß Summe Unterhaltsberechtigter</t>
  </si>
  <si>
    <t>Unterhaltsrest</t>
  </si>
  <si>
    <t>Maximal lt. VO für Tagesbetreuung Kinder- und Jugendliche</t>
  </si>
  <si>
    <t>Maximal lt. VO für Internat und Wohnen für Kinder- und Jugendliche</t>
  </si>
  <si>
    <t>Bedingung</t>
  </si>
  <si>
    <t>Einkommen - Selbstbehalt</t>
  </si>
  <si>
    <t>Existenzminimum gem. Anzahl Unterhaltsberechtigter</t>
  </si>
  <si>
    <t>Summe weitere Unterhaltsberechtigte</t>
  </si>
  <si>
    <t>Nettoeinkommen Ehepartner</t>
  </si>
  <si>
    <t>Summe Unterhaltsberechtigter 
(=Maßnahmenempfänger
+ Ehepartner ohne Einkommen
+ weitere Unterhaltsberechtigte)</t>
  </si>
  <si>
    <t>n</t>
  </si>
  <si>
    <t>&gt;=4</t>
  </si>
  <si>
    <t>j</t>
  </si>
  <si>
    <t>&gt;0</t>
  </si>
  <si>
    <t>Unterhaltshöhe nach Alterstufen</t>
  </si>
  <si>
    <t>Berechnung der Unterhaltshöhe (Alimente) (oesterreich.gv.at)</t>
  </si>
  <si>
    <t>&lt;6</t>
  </si>
  <si>
    <t>&gt;=6 bis &lt;10</t>
  </si>
  <si>
    <t>&gt;=10 bis &lt;15</t>
  </si>
  <si>
    <t>&gt;=15</t>
  </si>
  <si>
    <t>Für Ehegeattin je nach eigenem Einkommen</t>
  </si>
  <si>
    <t>einkommenslos bis 1/9</t>
  </si>
  <si>
    <t>&gt;1/9 bis &lt;=2/9</t>
  </si>
  <si>
    <t>&gt;2/9 bis &lt;= 3/9</t>
  </si>
  <si>
    <t xml:space="preserve">&gt;3/9 </t>
  </si>
  <si>
    <t>Abzüge bei mehreren Unterhaltsberechtigten</t>
  </si>
  <si>
    <t>Unterhaltsberechtigte unter 10 Jahren</t>
  </si>
  <si>
    <t>Unterhaltsberechtigte über 10 Jahren</t>
  </si>
  <si>
    <t>2,5 facher Regelbedarf:</t>
  </si>
  <si>
    <t>2,5 fache</t>
  </si>
  <si>
    <t>Steuervorteile für Familien | Arbeiterkammer</t>
  </si>
  <si>
    <t>bis 5 Jahre</t>
  </si>
  <si>
    <t>&gt;=5 bis &lt;9 Jahre</t>
  </si>
  <si>
    <t>&gt;=9 bis &lt;14 Jahre</t>
  </si>
  <si>
    <t>&gt;=14 bis &lt;19 Jahre</t>
  </si>
  <si>
    <t>&gt;=19 Jahre</t>
  </si>
  <si>
    <t>Ehegattenunterhalt:</t>
  </si>
  <si>
    <t>Nettoeinkommen des Unterhaltsberechtigten</t>
  </si>
  <si>
    <t>Ehegattenunterhalt</t>
  </si>
  <si>
    <t>Unterhalt an Ehepartner</t>
  </si>
  <si>
    <t>Unterhaltsberechtigte (Minderung pro Kind)</t>
  </si>
  <si>
    <t>Unterhaltsanspruch (Einkommenslos)</t>
  </si>
  <si>
    <t>Einkommen des Verpflichteten - Kostenbeitrag</t>
  </si>
  <si>
    <t>Summe Unterhaltsberechtigter 
(=Maßnahmenempfänger ohne Einkommen + weitere Unterhaltsberechtigte)</t>
  </si>
  <si>
    <t>Summe Unterhaltsberechtigter 
(=Maßnahmenempfänger ohne Einkommen
+ weitere Unterhaltsberechtigte)</t>
  </si>
  <si>
    <t>&gt;=5</t>
  </si>
  <si>
    <t>§ 291 b EO 75%</t>
  </si>
  <si>
    <t>Wohnen exkl. Tagesstruktur (BWH, BWHI), Wohnen - Berufsvorbereitung (BVW)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</si>
</sst>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0"/>
      <color theme="1"/>
      <name val="Arial"/>
      <family val="2"/>
    </font>
    <font>
      <b/>
      <sz val="12"/>
      <name val="Arial"/>
      <family val="2"/>
    </font>
    <font>
      <sz val="12"/>
      <name val="Arial"/>
      <family val="2"/>
    </font>
    <font>
      <sz val="10"/>
      <name val="Arial"/>
      <family val="2"/>
    </font>
    <font>
      <b/>
      <sz val="12"/>
      <color indexed="10"/>
      <name val="Arial"/>
      <family val="2"/>
    </font>
    <font>
      <sz val="12"/>
      <color indexed="10"/>
      <name val="Arial"/>
      <family val="2"/>
    </font>
    <font>
      <b/>
      <sz val="10"/>
      <name val="Arial"/>
      <family val="2"/>
    </font>
    <font>
      <sz val="10"/>
      <name val="Arial"/>
    </font>
    <font>
      <u/>
      <sz val="10"/>
      <color theme="10"/>
      <name val="Arial"/>
    </font>
    <font>
      <u/>
      <sz val="10"/>
      <color theme="10"/>
      <name val="Arial"/>
      <family val="2"/>
    </font>
    <font>
      <b/>
      <sz val="14"/>
      <color indexed="57"/>
      <name val="Arial"/>
      <family val="2"/>
    </font>
    <font>
      <b/>
      <sz val="12"/>
      <color indexed="57"/>
      <name val="Arial"/>
      <family val="2"/>
    </font>
    <font>
      <i/>
      <sz val="12"/>
      <name val="Arial"/>
      <family val="2"/>
    </font>
    <font>
      <sz val="9"/>
      <color rgb="FFFF0000"/>
      <name val="Arial"/>
      <family val="2"/>
    </font>
    <font>
      <i/>
      <sz val="11"/>
      <name val="Arial"/>
      <family val="2"/>
    </font>
    <font>
      <sz val="9"/>
      <color indexed="81"/>
      <name val="Tahoma"/>
      <family val="2"/>
    </font>
    <font>
      <b/>
      <sz val="9"/>
      <color indexed="81"/>
      <name val="Tahoma"/>
      <family val="2"/>
    </font>
    <font>
      <sz val="10"/>
      <color indexed="10"/>
      <name val="Arial"/>
      <family val="2"/>
    </font>
    <font>
      <sz val="8"/>
      <name val="Arial"/>
      <family val="2"/>
    </font>
    <font>
      <b/>
      <sz val="10"/>
      <color rgb="FFFF0000"/>
      <name val="Arial"/>
      <family val="2"/>
    </font>
    <font>
      <b/>
      <sz val="8"/>
      <color indexed="81"/>
      <name val="Tahoma"/>
      <family val="2"/>
    </font>
    <font>
      <sz val="8"/>
      <color indexed="81"/>
      <name val="Tahoma"/>
      <family val="2"/>
    </font>
    <font>
      <i/>
      <sz val="9"/>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rgb="FF92D050"/>
        <bgColor indexed="64"/>
      </patternFill>
    </fill>
    <fill>
      <patternFill patternType="solid">
        <fgColor indexed="46"/>
        <bgColor indexed="64"/>
      </patternFill>
    </fill>
    <fill>
      <patternFill patternType="solid">
        <fgColor theme="4" tint="0.79998168889431442"/>
        <bgColor indexed="64"/>
      </patternFill>
    </fill>
    <fill>
      <patternFill patternType="solid">
        <fgColor rgb="FFCC99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39997558519241921"/>
        <bgColor indexed="64"/>
      </patternFill>
    </fill>
  </fills>
  <borders count="51">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7" fillId="0" borderId="0"/>
    <xf numFmtId="0" fontId="8" fillId="0" borderId="0" applyNumberFormat="0" applyFill="0" applyBorder="0" applyAlignment="0" applyProtection="0"/>
    <xf numFmtId="0" fontId="9" fillId="0" borderId="0" applyNumberFormat="0" applyFill="0" applyBorder="0" applyAlignment="0" applyProtection="0"/>
  </cellStyleXfs>
  <cellXfs count="153">
    <xf numFmtId="0" fontId="0" fillId="0" borderId="0" xfId="0"/>
    <xf numFmtId="0" fontId="1" fillId="0" borderId="0" xfId="0" applyFont="1"/>
    <xf numFmtId="0" fontId="2" fillId="0" borderId="0" xfId="0" applyFont="1"/>
    <xf numFmtId="0" fontId="2" fillId="0" borderId="35" xfId="0" applyFont="1" applyBorder="1" applyAlignment="1">
      <alignment horizontal="right"/>
    </xf>
    <xf numFmtId="0" fontId="2" fillId="0" borderId="35" xfId="0" applyFont="1" applyBorder="1" applyAlignment="1">
      <alignment horizontal="left" wrapText="1"/>
    </xf>
    <xf numFmtId="0" fontId="2" fillId="0" borderId="35" xfId="0" applyFont="1" applyBorder="1" applyAlignment="1">
      <alignment horizontal="left" vertical="center" wrapText="1"/>
    </xf>
    <xf numFmtId="0" fontId="2" fillId="0" borderId="35" xfId="0" applyFont="1" applyBorder="1" applyAlignment="1">
      <alignment horizontal="left"/>
    </xf>
    <xf numFmtId="0" fontId="2" fillId="0" borderId="20" xfId="0" applyFont="1" applyBorder="1" applyAlignment="1">
      <alignment horizontal="left" wrapText="1"/>
    </xf>
    <xf numFmtId="0" fontId="2" fillId="0" borderId="20" xfId="0" applyFont="1" applyBorder="1" applyAlignment="1">
      <alignment horizontal="left"/>
    </xf>
    <xf numFmtId="0" fontId="2" fillId="0" borderId="22" xfId="0" applyFont="1" applyBorder="1"/>
    <xf numFmtId="0" fontId="2" fillId="0" borderId="14" xfId="0" applyFont="1" applyBorder="1" applyAlignment="1"/>
    <xf numFmtId="0" fontId="2" fillId="0" borderId="18" xfId="0" applyFont="1" applyBorder="1" applyAlignment="1"/>
    <xf numFmtId="0" fontId="2" fillId="0" borderId="19" xfId="0" applyFont="1" applyBorder="1"/>
    <xf numFmtId="0" fontId="2" fillId="0" borderId="4" xfId="0" applyFont="1" applyBorder="1"/>
    <xf numFmtId="0" fontId="12" fillId="0" borderId="22" xfId="0" applyFont="1" applyBorder="1" applyAlignment="1"/>
    <xf numFmtId="0" fontId="12" fillId="0" borderId="23" xfId="0" applyFont="1" applyBorder="1" applyAlignment="1"/>
    <xf numFmtId="0" fontId="12" fillId="0" borderId="24" xfId="0" applyFont="1" applyBorder="1" applyAlignment="1"/>
    <xf numFmtId="0" fontId="2" fillId="0" borderId="40" xfId="0" applyFont="1" applyBorder="1" applyAlignment="1"/>
    <xf numFmtId="0" fontId="12" fillId="0" borderId="30" xfId="0" applyFont="1" applyBorder="1" applyAlignment="1">
      <alignment horizontal="left"/>
    </xf>
    <xf numFmtId="0" fontId="1" fillId="5" borderId="19" xfId="0" applyFont="1" applyFill="1" applyBorder="1" applyAlignment="1">
      <alignment horizontal="center"/>
    </xf>
    <xf numFmtId="0" fontId="1" fillId="5" borderId="42" xfId="0" applyFont="1" applyFill="1" applyBorder="1" applyAlignment="1">
      <alignment horizontal="center"/>
    </xf>
    <xf numFmtId="0" fontId="2" fillId="0" borderId="31" xfId="0" applyFont="1" applyBorder="1"/>
    <xf numFmtId="0" fontId="2" fillId="6" borderId="12" xfId="0" applyFont="1" applyFill="1" applyBorder="1" applyProtection="1">
      <protection locked="0"/>
    </xf>
    <xf numFmtId="0" fontId="2" fillId="6" borderId="27" xfId="0" applyFont="1" applyFill="1" applyBorder="1" applyProtection="1">
      <protection locked="0"/>
    </xf>
    <xf numFmtId="0" fontId="2" fillId="0" borderId="3" xfId="0" applyFont="1" applyBorder="1"/>
    <xf numFmtId="1" fontId="2" fillId="6" borderId="26" xfId="0" applyNumberFormat="1" applyFont="1" applyFill="1" applyBorder="1" applyProtection="1">
      <protection locked="0"/>
    </xf>
    <xf numFmtId="0" fontId="2" fillId="6" borderId="26" xfId="0" applyFont="1" applyFill="1" applyBorder="1" applyAlignment="1" applyProtection="1">
      <alignment horizontal="right"/>
      <protection locked="0"/>
    </xf>
    <xf numFmtId="0" fontId="13" fillId="0" borderId="14" xfId="0" applyFont="1" applyBorder="1" applyAlignment="1">
      <alignment horizontal="center" wrapText="1"/>
    </xf>
    <xf numFmtId="0" fontId="2" fillId="0" borderId="3" xfId="0" applyFont="1" applyFill="1" applyBorder="1"/>
    <xf numFmtId="0" fontId="2" fillId="6" borderId="40" xfId="0" applyFont="1" applyFill="1" applyBorder="1" applyProtection="1">
      <protection locked="0"/>
    </xf>
    <xf numFmtId="0" fontId="2" fillId="6" borderId="26" xfId="0" applyFont="1" applyFill="1" applyBorder="1" applyProtection="1">
      <protection locked="0"/>
    </xf>
    <xf numFmtId="0" fontId="2" fillId="6" borderId="43" xfId="0" applyFont="1" applyFill="1" applyBorder="1" applyProtection="1">
      <protection locked="0"/>
    </xf>
    <xf numFmtId="0" fontId="2" fillId="0" borderId="30" xfId="0" applyFont="1" applyBorder="1"/>
    <xf numFmtId="0" fontId="2" fillId="6" borderId="28" xfId="0" applyFont="1" applyFill="1" applyBorder="1" applyProtection="1">
      <protection locked="0"/>
    </xf>
    <xf numFmtId="2" fontId="2" fillId="0" borderId="14" xfId="0" applyNumberFormat="1" applyFont="1" applyFill="1" applyBorder="1" applyAlignment="1"/>
    <xf numFmtId="0" fontId="14" fillId="0" borderId="9" xfId="0" applyFont="1" applyBorder="1" applyAlignment="1"/>
    <xf numFmtId="0" fontId="14" fillId="0" borderId="10" xfId="0" applyFont="1" applyBorder="1" applyAlignment="1"/>
    <xf numFmtId="0" fontId="14" fillId="0" borderId="14" xfId="0" applyFont="1" applyBorder="1" applyAlignment="1"/>
    <xf numFmtId="0" fontId="2" fillId="0" borderId="1" xfId="0" applyFont="1" applyBorder="1"/>
    <xf numFmtId="0" fontId="2" fillId="0" borderId="7" xfId="0" applyFont="1" applyBorder="1"/>
    <xf numFmtId="0" fontId="1" fillId="0" borderId="0" xfId="0" applyFont="1" applyBorder="1"/>
    <xf numFmtId="2" fontId="2" fillId="0" borderId="0" xfId="0" applyNumberFormat="1" applyFont="1" applyBorder="1" applyAlignment="1">
      <alignment horizontal="center"/>
    </xf>
    <xf numFmtId="0" fontId="2" fillId="0" borderId="0" xfId="0" applyFont="1" applyBorder="1" applyAlignment="1"/>
    <xf numFmtId="0" fontId="2" fillId="0" borderId="0" xfId="0" applyFont="1" applyBorder="1" applyAlignment="1">
      <alignment horizontal="center"/>
    </xf>
    <xf numFmtId="0" fontId="4" fillId="0" borderId="22" xfId="0" applyFont="1" applyBorder="1"/>
    <xf numFmtId="0" fontId="2" fillId="0" borderId="22" xfId="0" applyFont="1" applyBorder="1" applyAlignment="1"/>
    <xf numFmtId="0" fontId="1" fillId="0" borderId="9" xfId="0" applyFont="1" applyBorder="1"/>
    <xf numFmtId="0" fontId="2" fillId="0" borderId="10" xfId="0" applyFont="1" applyBorder="1"/>
    <xf numFmtId="0" fontId="2" fillId="0" borderId="11" xfId="0" applyFont="1" applyBorder="1"/>
    <xf numFmtId="0" fontId="2" fillId="0" borderId="31" xfId="0" applyFont="1" applyBorder="1" applyProtection="1">
      <protection locked="0"/>
    </xf>
    <xf numFmtId="0" fontId="2" fillId="0" borderId="32" xfId="0" applyFont="1" applyBorder="1" applyProtection="1">
      <protection locked="0"/>
    </xf>
    <xf numFmtId="0" fontId="2" fillId="0" borderId="33" xfId="0" applyFont="1" applyBorder="1" applyProtection="1">
      <protection locked="0"/>
    </xf>
    <xf numFmtId="0" fontId="0" fillId="0" borderId="15" xfId="0" applyBorder="1"/>
    <xf numFmtId="0" fontId="3" fillId="0" borderId="29" xfId="0" applyFont="1" applyBorder="1" applyAlignment="1">
      <alignment horizontal="center" wrapText="1"/>
    </xf>
    <xf numFmtId="0" fontId="0" fillId="0" borderId="29" xfId="0" applyBorder="1" applyAlignment="1">
      <alignment horizontal="center"/>
    </xf>
    <xf numFmtId="0" fontId="0" fillId="0" borderId="16" xfId="0" applyBorder="1" applyAlignment="1">
      <alignment horizontal="center"/>
    </xf>
    <xf numFmtId="0" fontId="0" fillId="0" borderId="9" xfId="0" applyBorder="1"/>
    <xf numFmtId="0" fontId="0" fillId="0" borderId="46"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30" xfId="0" applyBorder="1"/>
    <xf numFmtId="0" fontId="0" fillId="0" borderId="47" xfId="0" applyBorder="1" applyAlignment="1">
      <alignment horizontal="center"/>
    </xf>
    <xf numFmtId="0" fontId="0" fillId="0" borderId="0" xfId="0" applyBorder="1" applyAlignment="1">
      <alignment horizontal="center"/>
    </xf>
    <xf numFmtId="0" fontId="0" fillId="0" borderId="48" xfId="0" applyBorder="1" applyAlignment="1">
      <alignment horizontal="center"/>
    </xf>
    <xf numFmtId="0" fontId="0" fillId="0" borderId="25" xfId="0" applyBorder="1"/>
    <xf numFmtId="0" fontId="0" fillId="0" borderId="49" xfId="0" applyBorder="1" applyAlignment="1">
      <alignment horizontal="center"/>
    </xf>
    <xf numFmtId="0" fontId="0" fillId="0" borderId="17" xfId="0" applyBorder="1" applyAlignment="1">
      <alignment horizontal="center"/>
    </xf>
    <xf numFmtId="0" fontId="0" fillId="0" borderId="50" xfId="0" applyBorder="1" applyAlignment="1">
      <alignment horizontal="center"/>
    </xf>
    <xf numFmtId="0" fontId="0" fillId="0" borderId="12" xfId="0" applyBorder="1"/>
    <xf numFmtId="0" fontId="3" fillId="0" borderId="0" xfId="0" applyFont="1"/>
    <xf numFmtId="0" fontId="17" fillId="0" borderId="0" xfId="0" applyFont="1" applyAlignment="1">
      <alignment horizontal="left"/>
    </xf>
    <xf numFmtId="4" fontId="0" fillId="0" borderId="0" xfId="0" applyNumberFormat="1"/>
    <xf numFmtId="0" fontId="0" fillId="0" borderId="0" xfId="0" applyAlignment="1">
      <alignment horizontal="center"/>
    </xf>
    <xf numFmtId="2" fontId="0" fillId="0" borderId="0" xfId="0" applyNumberFormat="1"/>
    <xf numFmtId="0" fontId="17" fillId="0" borderId="0" xfId="0" applyFont="1"/>
    <xf numFmtId="0" fontId="18" fillId="0" borderId="0" xfId="0" applyFont="1" applyAlignment="1">
      <alignment vertical="center" wrapText="1"/>
    </xf>
    <xf numFmtId="0" fontId="19" fillId="0" borderId="0" xfId="0" applyFont="1"/>
    <xf numFmtId="0" fontId="0" fillId="3" borderId="0" xfId="0" applyFill="1"/>
    <xf numFmtId="4" fontId="0" fillId="3" borderId="0" xfId="0" applyNumberFormat="1" applyFill="1"/>
    <xf numFmtId="0" fontId="9" fillId="0" borderId="0" xfId="3"/>
    <xf numFmtId="0" fontId="0" fillId="2" borderId="0" xfId="0" applyFill="1"/>
    <xf numFmtId="0" fontId="6" fillId="0" borderId="0" xfId="0" applyFont="1" applyFill="1"/>
    <xf numFmtId="4" fontId="0" fillId="0" borderId="0" xfId="0" applyNumberFormat="1" applyFill="1"/>
    <xf numFmtId="4" fontId="0" fillId="2" borderId="0" xfId="0" applyNumberFormat="1" applyFill="1"/>
    <xf numFmtId="4" fontId="0" fillId="0" borderId="0" xfId="0" applyNumberFormat="1" applyFill="1" applyBorder="1"/>
    <xf numFmtId="4" fontId="0" fillId="0" borderId="0" xfId="0" applyNumberFormat="1" applyFill="1" applyBorder="1" applyAlignment="1">
      <alignment horizontal="right"/>
    </xf>
    <xf numFmtId="0" fontId="0" fillId="0" borderId="0" xfId="0" applyAlignment="1">
      <alignment wrapText="1"/>
    </xf>
    <xf numFmtId="3" fontId="0" fillId="0" borderId="0" xfId="0" applyNumberFormat="1" applyFill="1" applyBorder="1"/>
    <xf numFmtId="3" fontId="0" fillId="0" borderId="0" xfId="0" applyNumberFormat="1" applyFill="1" applyBorder="1" applyAlignment="1">
      <alignment horizontal="right"/>
    </xf>
    <xf numFmtId="4" fontId="0" fillId="0" borderId="0" xfId="0" applyNumberFormat="1" applyAlignment="1">
      <alignment horizontal="right"/>
    </xf>
    <xf numFmtId="2" fontId="0" fillId="0" borderId="0" xfId="0" applyNumberFormat="1" applyAlignment="1">
      <alignment horizontal="right"/>
    </xf>
    <xf numFmtId="2" fontId="6" fillId="0" borderId="0" xfId="0" applyNumberFormat="1" applyFont="1" applyAlignment="1">
      <alignment horizontal="center"/>
    </xf>
    <xf numFmtId="2" fontId="0" fillId="0" borderId="0" xfId="0" applyNumberFormat="1" applyAlignment="1">
      <alignment horizontal="center"/>
    </xf>
    <xf numFmtId="0" fontId="0" fillId="0" borderId="36" xfId="0" applyBorder="1"/>
    <xf numFmtId="0" fontId="17" fillId="0" borderId="36" xfId="0" applyFont="1" applyBorder="1" applyAlignment="1">
      <alignment horizontal="center" textRotation="90" wrapText="1"/>
    </xf>
    <xf numFmtId="0" fontId="0" fillId="0" borderId="36" xfId="0" applyBorder="1" applyAlignment="1">
      <alignment horizontal="center" textRotation="90" wrapText="1"/>
    </xf>
    <xf numFmtId="2" fontId="0" fillId="0" borderId="36" xfId="0" applyNumberFormat="1" applyBorder="1" applyAlignment="1">
      <alignment horizontal="left"/>
    </xf>
    <xf numFmtId="4" fontId="0" fillId="0" borderId="36" xfId="0" applyNumberFormat="1" applyBorder="1" applyAlignment="1">
      <alignment horizontal="center" wrapText="1"/>
    </xf>
    <xf numFmtId="0" fontId="0" fillId="0" borderId="36" xfId="0" applyBorder="1" applyAlignment="1">
      <alignment horizontal="center" wrapText="1"/>
    </xf>
    <xf numFmtId="2" fontId="0" fillId="0" borderId="36" xfId="0" applyNumberFormat="1" applyBorder="1" applyAlignment="1">
      <alignment horizontal="center" wrapText="1"/>
    </xf>
    <xf numFmtId="0" fontId="6" fillId="7" borderId="0" xfId="0" applyFont="1" applyFill="1"/>
    <xf numFmtId="0" fontId="0" fillId="7" borderId="0" xfId="0" applyFill="1"/>
    <xf numFmtId="9" fontId="0" fillId="0" borderId="0" xfId="0" applyNumberFormat="1"/>
    <xf numFmtId="0" fontId="6" fillId="8" borderId="0" xfId="0" applyFont="1" applyFill="1"/>
    <xf numFmtId="0" fontId="0" fillId="8" borderId="0" xfId="0" applyFill="1"/>
    <xf numFmtId="0" fontId="6" fillId="2" borderId="0" xfId="0" applyFont="1" applyFill="1"/>
    <xf numFmtId="0" fontId="6" fillId="9" borderId="0" xfId="0" applyFont="1" applyFill="1" applyAlignment="1">
      <alignment horizontal="center"/>
    </xf>
    <xf numFmtId="0" fontId="6" fillId="9" borderId="0" xfId="0" applyFont="1" applyFill="1"/>
    <xf numFmtId="0" fontId="22" fillId="0" borderId="0" xfId="0" applyFont="1"/>
    <xf numFmtId="0" fontId="6" fillId="0" borderId="0" xfId="0" applyFont="1"/>
    <xf numFmtId="2" fontId="6" fillId="0" borderId="0" xfId="0" applyNumberFormat="1" applyFont="1"/>
    <xf numFmtId="1" fontId="0" fillId="0" borderId="0" xfId="0" applyNumberFormat="1"/>
    <xf numFmtId="0" fontId="1" fillId="2" borderId="22" xfId="0" applyFont="1" applyFill="1" applyBorder="1"/>
    <xf numFmtId="0" fontId="1" fillId="2" borderId="44" xfId="0" applyFont="1" applyFill="1" applyBorder="1"/>
    <xf numFmtId="2" fontId="2" fillId="2" borderId="28" xfId="0" applyNumberFormat="1" applyFont="1" applyFill="1" applyBorder="1"/>
    <xf numFmtId="2" fontId="2" fillId="2" borderId="42" xfId="0" applyNumberFormat="1" applyFont="1" applyFill="1" applyBorder="1"/>
    <xf numFmtId="2" fontId="5" fillId="0" borderId="1" xfId="0" applyNumberFormat="1" applyFont="1" applyBorder="1" applyAlignment="1">
      <alignment horizontal="center"/>
    </xf>
    <xf numFmtId="2" fontId="5" fillId="0" borderId="2" xfId="0" applyNumberFormat="1" applyFont="1" applyBorder="1" applyAlignment="1">
      <alignment horizontal="center"/>
    </xf>
    <xf numFmtId="0" fontId="2" fillId="0" borderId="45" xfId="0" applyFont="1" applyFill="1" applyBorder="1" applyAlignment="1">
      <alignment horizontal="center"/>
    </xf>
    <xf numFmtId="0" fontId="2" fillId="0" borderId="28" xfId="0" applyFont="1" applyFill="1" applyBorder="1" applyAlignment="1">
      <alignment horizontal="center"/>
    </xf>
    <xf numFmtId="2" fontId="2" fillId="0" borderId="7" xfId="0" applyNumberFormat="1" applyFont="1" applyBorder="1" applyAlignment="1">
      <alignment horizontal="center"/>
    </xf>
    <xf numFmtId="2" fontId="2" fillId="0" borderId="8" xfId="0" applyNumberFormat="1" applyFont="1" applyBorder="1" applyAlignment="1">
      <alignment horizontal="center"/>
    </xf>
    <xf numFmtId="0" fontId="10" fillId="0" borderId="9" xfId="0" applyFont="1" applyBorder="1" applyAlignment="1">
      <alignment horizontal="left" vertical="top"/>
    </xf>
    <xf numFmtId="0" fontId="11" fillId="0" borderId="10" xfId="0" applyFont="1" applyBorder="1" applyAlignment="1">
      <alignment horizontal="left" vertical="top"/>
    </xf>
    <xf numFmtId="0" fontId="11" fillId="0" borderId="11" xfId="0" applyFont="1" applyBorder="1" applyAlignment="1">
      <alignment horizontal="left" vertical="top"/>
    </xf>
    <xf numFmtId="0" fontId="2" fillId="4" borderId="1" xfId="0" applyFont="1" applyFill="1" applyBorder="1" applyAlignment="1" applyProtection="1">
      <alignment horizontal="center"/>
      <protection locked="0"/>
    </xf>
    <xf numFmtId="0" fontId="2" fillId="4" borderId="2" xfId="0" applyFont="1" applyFill="1" applyBorder="1" applyAlignment="1" applyProtection="1">
      <alignment horizontal="center"/>
      <protection locked="0"/>
    </xf>
    <xf numFmtId="0" fontId="2" fillId="4" borderId="31" xfId="0" applyFont="1" applyFill="1" applyBorder="1" applyAlignment="1">
      <alignment horizontal="center"/>
    </xf>
    <xf numFmtId="0" fontId="2" fillId="4" borderId="33" xfId="0" applyFont="1" applyFill="1" applyBorder="1" applyAlignment="1">
      <alignment horizontal="center"/>
    </xf>
    <xf numFmtId="0" fontId="2" fillId="4" borderId="25" xfId="0" applyFont="1" applyFill="1" applyBorder="1" applyAlignment="1" applyProtection="1">
      <alignment horizontal="center"/>
      <protection locked="0"/>
    </xf>
    <xf numFmtId="0" fontId="2" fillId="4" borderId="18" xfId="0" applyFont="1" applyFill="1" applyBorder="1" applyAlignment="1" applyProtection="1">
      <alignment horizontal="center"/>
      <protection locked="0"/>
    </xf>
    <xf numFmtId="2" fontId="2" fillId="2" borderId="22" xfId="0" applyNumberFormat="1" applyFont="1" applyFill="1" applyBorder="1" applyAlignment="1">
      <alignment horizontal="center"/>
    </xf>
    <xf numFmtId="2" fontId="2" fillId="2" borderId="24" xfId="0" applyNumberFormat="1" applyFont="1" applyFill="1" applyBorder="1" applyAlignment="1">
      <alignment horizontal="center"/>
    </xf>
    <xf numFmtId="0" fontId="2" fillId="4" borderId="10" xfId="0" applyFont="1" applyFill="1" applyBorder="1" applyAlignment="1" applyProtection="1">
      <alignment horizontal="center"/>
      <protection locked="0"/>
    </xf>
    <xf numFmtId="0" fontId="2" fillId="4" borderId="11" xfId="0" applyFont="1" applyFill="1" applyBorder="1" applyAlignment="1" applyProtection="1">
      <alignment horizontal="center"/>
      <protection locked="0"/>
    </xf>
    <xf numFmtId="0" fontId="2" fillId="0" borderId="40" xfId="0" applyFont="1" applyBorder="1" applyAlignment="1">
      <alignment horizontal="center"/>
    </xf>
    <xf numFmtId="0" fontId="2" fillId="0" borderId="28" xfId="0" applyFont="1" applyBorder="1" applyAlignment="1">
      <alignment horizontal="center"/>
    </xf>
    <xf numFmtId="0" fontId="2" fillId="4" borderId="41" xfId="0" applyFont="1" applyFill="1" applyBorder="1" applyAlignment="1" applyProtection="1">
      <alignment horizontal="center"/>
      <protection locked="0"/>
    </xf>
    <xf numFmtId="0" fontId="2" fillId="4" borderId="34" xfId="0" applyFont="1" applyFill="1" applyBorder="1" applyAlignment="1" applyProtection="1">
      <alignment horizontal="center"/>
      <protection locked="0"/>
    </xf>
    <xf numFmtId="4" fontId="2" fillId="2" borderId="22" xfId="0" applyNumberFormat="1" applyFont="1" applyFill="1" applyBorder="1" applyAlignment="1">
      <alignment horizontal="center"/>
    </xf>
    <xf numFmtId="0" fontId="0" fillId="2" borderId="24" xfId="0" applyFill="1" applyBorder="1"/>
    <xf numFmtId="0" fontId="2" fillId="0" borderId="0" xfId="0" applyFont="1" applyBorder="1" applyAlignment="1">
      <alignment horizontal="center"/>
    </xf>
    <xf numFmtId="0" fontId="2" fillId="0" borderId="36" xfId="0" applyFont="1" applyFill="1" applyBorder="1" applyAlignment="1" applyProtection="1">
      <alignment horizontal="center"/>
      <protection locked="0"/>
    </xf>
    <xf numFmtId="0" fontId="2" fillId="0" borderId="37" xfId="0" applyFont="1" applyFill="1" applyBorder="1" applyAlignment="1" applyProtection="1">
      <alignment horizontal="center"/>
      <protection locked="0"/>
    </xf>
    <xf numFmtId="0" fontId="2" fillId="4" borderId="36" xfId="0" applyFont="1" applyFill="1" applyBorder="1" applyAlignment="1" applyProtection="1">
      <alignment horizontal="center"/>
      <protection locked="0"/>
    </xf>
    <xf numFmtId="0" fontId="2" fillId="4" borderId="37" xfId="0" applyFont="1" applyFill="1" applyBorder="1" applyAlignment="1" applyProtection="1">
      <alignment horizontal="center"/>
      <protection locked="0"/>
    </xf>
    <xf numFmtId="0" fontId="2" fillId="4" borderId="22" xfId="0" applyFont="1" applyFill="1" applyBorder="1" applyAlignment="1" applyProtection="1">
      <alignment horizontal="center"/>
      <protection locked="0"/>
    </xf>
    <xf numFmtId="0" fontId="2" fillId="4" borderId="24" xfId="0" applyFont="1" applyFill="1" applyBorder="1" applyAlignment="1" applyProtection="1">
      <alignment horizontal="center"/>
      <protection locked="0"/>
    </xf>
    <xf numFmtId="0" fontId="2" fillId="4" borderId="38" xfId="0" applyFont="1" applyFill="1" applyBorder="1" applyAlignment="1" applyProtection="1">
      <alignment horizontal="center"/>
      <protection locked="0"/>
    </xf>
    <xf numFmtId="0" fontId="2" fillId="4" borderId="5" xfId="0" applyFont="1" applyFill="1" applyBorder="1" applyAlignment="1" applyProtection="1">
      <alignment horizontal="center"/>
      <protection locked="0"/>
    </xf>
    <xf numFmtId="0" fontId="2" fillId="4" borderId="6" xfId="0" applyFont="1" applyFill="1" applyBorder="1" applyAlignment="1" applyProtection="1">
      <alignment horizontal="center"/>
      <protection locked="0"/>
    </xf>
    <xf numFmtId="0" fontId="2" fillId="4" borderId="39" xfId="0" applyFont="1" applyFill="1" applyBorder="1" applyAlignment="1" applyProtection="1">
      <alignment horizontal="center"/>
      <protection locked="0"/>
    </xf>
    <xf numFmtId="0" fontId="2" fillId="4" borderId="21" xfId="0" applyFont="1" applyFill="1" applyBorder="1" applyAlignment="1" applyProtection="1">
      <alignment horizontal="center"/>
      <protection locked="0"/>
    </xf>
  </cellXfs>
  <cellStyles count="4">
    <cellStyle name="Link" xfId="3" builtinId="8"/>
    <cellStyle name="Link 2" xfId="2"/>
    <cellStyle name="Standard" xfId="0" builtinId="0"/>
    <cellStyle name="Standard 2" xfId="1"/>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www.dvt.at/ddp/spreadsheet/datasource/App%3ASOKI/SOKI_Verfahren'">
  <Schema ID="http://www.dvt.at/ddp/spreadsheet/datasource/App%3ASOKI/SOKI_Verfahren" Namespace="http://www.dvt.at/ddp/spreadsheet/datasource/App%3ASOKI/SOKI_Verfahren">
    <xs:schema xmlns:xs="http://www.w3.org/2001/XMLSchema" xmlns="http://www.dvt.at/ddp/spreadsheet/datasource/App%3ASOKI/SOKI_Verfahren" elementFormDefault="unqualified" targetNamespace="http://www.dvt.at/ddp/spreadsheet/datasource/App%3ASOKI/SOKI_Verfahren">
      <xs:element name="SOKI_Verfahren">
        <xs:complexType>
          <xs:sequence>
            <xs:element maxOccurs="1" minOccurs="0" name="AZ" type="xs:byte"/>
            <xs:element maxOccurs="1" minOccurs="0" name="Verfahrensart" type="xs:byte"/>
            <xs:element maxOccurs="1" minOccurs="0" name="Eingangsdatum" type="xs:byte"/>
            <xs:element maxOccurs="1" minOccurs="0" name="Stelle" type="xs:byte"/>
            <xs:element maxOccurs="1" minOccurs="0" name="Leistungsempfaenger" type="xs:byte"/>
            <xs:element maxOccurs="1" minOccurs="0" name="INFO_Titel" type="xs:byte"/>
            <xs:element maxOccurs="1" minOccurs="0" name="idverfahren" type="xs:byte"/>
          </xs:sequence>
        </xs:complexType>
      </xs:element>
    </xs:schema>
  </Schema>
  <Map ID="1" Name="SOKI_Verfahren@App:SOKI_Zuordnung" RootElement="SOKI_Verfahren" SchemaID="http://www.dvt.at/ddp/spreadsheet/datasource/App%3ASOKI/SOKI_Verfahren"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xmlMaps" Target="xmlMaps.xml"/></Relationships>
</file>

<file path=xl/drawings/drawing1.xml><?xml version="1.0" encoding="utf-8"?>
<xdr:wsDr xmlns:xdr="http://schemas.openxmlformats.org/drawingml/2006/spreadsheetDrawing" xmlns:a="http://schemas.openxmlformats.org/drawingml/2006/main">
  <xdr:twoCellAnchor>
    <xdr:from>
      <xdr:col>4</xdr:col>
      <xdr:colOff>19049</xdr:colOff>
      <xdr:row>6</xdr:row>
      <xdr:rowOff>161925</xdr:rowOff>
    </xdr:from>
    <xdr:to>
      <xdr:col>6</xdr:col>
      <xdr:colOff>733424</xdr:colOff>
      <xdr:row>10</xdr:row>
      <xdr:rowOff>66675</xdr:rowOff>
    </xdr:to>
    <xdr:sp macro="" textlink="">
      <xdr:nvSpPr>
        <xdr:cNvPr id="2" name="Textfeld 1"/>
        <xdr:cNvSpPr txBox="1"/>
      </xdr:nvSpPr>
      <xdr:spPr>
        <a:xfrm>
          <a:off x="7124699" y="1504950"/>
          <a:ext cx="2238375" cy="1238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In den violetten Felder ist für die zutreffende Leistung ein "j" einzugeben, um für diese den Kostenbeitrag zu berechnen. Es kann immer nur für eine Leistung ein j eingegeben werden.</a:t>
          </a:r>
        </a:p>
      </xdr:txBody>
    </xdr:sp>
    <xdr:clientData/>
  </xdr:twoCellAnchor>
  <xdr:twoCellAnchor>
    <xdr:from>
      <xdr:col>3</xdr:col>
      <xdr:colOff>152399</xdr:colOff>
      <xdr:row>20</xdr:row>
      <xdr:rowOff>66674</xdr:rowOff>
    </xdr:from>
    <xdr:to>
      <xdr:col>5</xdr:col>
      <xdr:colOff>485775</xdr:colOff>
      <xdr:row>23</xdr:row>
      <xdr:rowOff>142874</xdr:rowOff>
    </xdr:to>
    <xdr:sp macro="" textlink="">
      <xdr:nvSpPr>
        <xdr:cNvPr id="3" name="Textfeld 2"/>
        <xdr:cNvSpPr txBox="1"/>
      </xdr:nvSpPr>
      <xdr:spPr>
        <a:xfrm>
          <a:off x="6496049" y="4867274"/>
          <a:ext cx="1857376" cy="676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Bitte</a:t>
          </a:r>
          <a:r>
            <a:rPr lang="de-AT" sz="1100" baseline="0"/>
            <a:t> Kommentar in Zelle Vater u. Mutter  beachten</a:t>
          </a:r>
        </a:p>
        <a:p>
          <a:endParaRPr lang="de-AT" sz="1100"/>
        </a:p>
      </xdr:txBody>
    </xdr:sp>
    <xdr:clientData/>
  </xdr:twoCellAnchor>
</xdr:wsDr>
</file>

<file path=xl/tables/tableSingleCells1.xml><?xml version="1.0" encoding="utf-8"?>
<singleXmlCells xmlns="http://schemas.openxmlformats.org/spreadsheetml/2006/main">
  <singleXmlCell id="1" r="B2" connectionId="0">
    <xmlCellPr id="1" uniqueName="Leistungsempfaenger">
      <xmlPr mapId="1" xpath="/ns1:SOKI_Verfahren/Leistungsempfaenger" xmlDataType="byte"/>
    </xmlCellPr>
  </singleXmlCell>
</singleXmlCell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pv.at/web/pflegegeld"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oesterreich.gv.at/themen/familie_und_partnerschaft/alleinerziehung/5/1/Seite.490532.html" TargetMode="External"/><Relationship Id="rId1" Type="http://schemas.openxmlformats.org/officeDocument/2006/relationships/hyperlink" Target="https://www.arbeiterkammer.at/beratung/steuerundeinkommen/steuertipps/Steuervorteile_fuer_Familien.html" TargetMode="External"/></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vmlDrawing" Target="../drawings/vmlDrawing2.vml"/><Relationship Id="rId1" Type="http://schemas.openxmlformats.org/officeDocument/2006/relationships/drawing" Target="../drawings/drawing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2"/>
  <sheetViews>
    <sheetView workbookViewId="0">
      <selection activeCell="E35" sqref="E34:E35"/>
    </sheetView>
  </sheetViews>
  <sheetFormatPr baseColWidth="10" defaultRowHeight="12.75"/>
  <cols>
    <col min="1" max="1" width="32" customWidth="1"/>
    <col min="2" max="2" width="32.5703125" customWidth="1"/>
    <col min="3" max="3" width="20.28515625" customWidth="1"/>
    <col min="4" max="4" width="20.7109375" customWidth="1"/>
    <col min="5" max="5" width="47" customWidth="1"/>
  </cols>
  <sheetData>
    <row r="2" spans="2:5">
      <c r="B2" t="s">
        <v>2</v>
      </c>
      <c r="C2">
        <f>Eingabeblatt!B17</f>
        <v>0</v>
      </c>
    </row>
    <row r="3" spans="2:5">
      <c r="B3" t="s">
        <v>4</v>
      </c>
      <c r="C3">
        <f>Eingabeblatt!B16</f>
        <v>0</v>
      </c>
    </row>
    <row r="4" spans="2:5" ht="13.5" thickBot="1"/>
    <row r="5" spans="2:5" ht="26.25" thickBot="1">
      <c r="B5" s="52"/>
      <c r="C5" s="53" t="s">
        <v>52</v>
      </c>
      <c r="D5" s="54" t="s">
        <v>53</v>
      </c>
      <c r="E5" s="55" t="s">
        <v>54</v>
      </c>
    </row>
    <row r="6" spans="2:5">
      <c r="B6" s="56" t="s">
        <v>55</v>
      </c>
      <c r="C6" s="57" t="str">
        <f>IF(Eingabeblatt!B3&lt;&gt;"J","",Eingabeblatt!B3)</f>
        <v/>
      </c>
      <c r="D6" s="58">
        <v>0.15</v>
      </c>
      <c r="E6" s="59">
        <f t="shared" ref="E6:E11" si="0">$C$3*D6</f>
        <v>0</v>
      </c>
    </row>
    <row r="7" spans="2:5">
      <c r="B7" s="60" t="s">
        <v>56</v>
      </c>
      <c r="C7" s="61" t="str">
        <f>IF(Eingabeblatt!B4&lt;&gt;"J","",Eingabeblatt!B4)</f>
        <v/>
      </c>
      <c r="D7" s="62">
        <v>0.3</v>
      </c>
      <c r="E7" s="63">
        <f t="shared" si="0"/>
        <v>0</v>
      </c>
    </row>
    <row r="8" spans="2:5">
      <c r="B8" s="60" t="s">
        <v>57</v>
      </c>
      <c r="C8" s="61" t="str">
        <f>IF(Eingabeblatt!B5&lt;&gt;"J","",Eingabeblatt!B5)</f>
        <v/>
      </c>
      <c r="D8" s="62">
        <v>0.8</v>
      </c>
      <c r="E8" s="63">
        <f t="shared" si="0"/>
        <v>0</v>
      </c>
    </row>
    <row r="9" spans="2:5">
      <c r="B9" s="60" t="s">
        <v>58</v>
      </c>
      <c r="C9" s="61" t="str">
        <f>IF(Eingabeblatt!B6&lt;&gt;"J","",Eingabeblatt!B6)</f>
        <v/>
      </c>
      <c r="D9" s="62">
        <v>0.3</v>
      </c>
      <c r="E9" s="63">
        <f>$C$3*D9</f>
        <v>0</v>
      </c>
    </row>
    <row r="10" spans="2:5">
      <c r="B10" s="60" t="s">
        <v>59</v>
      </c>
      <c r="C10" s="61" t="str">
        <f>IF(Eingabeblatt!B7&lt;&gt;"J","",Eingabeblatt!B7)</f>
        <v/>
      </c>
      <c r="D10" s="62">
        <v>0.15</v>
      </c>
      <c r="E10" s="63">
        <f t="shared" si="0"/>
        <v>0</v>
      </c>
    </row>
    <row r="11" spans="2:5" ht="13.5" thickBot="1">
      <c r="B11" s="64" t="s">
        <v>60</v>
      </c>
      <c r="C11" s="65" t="str">
        <f>IF(Eingabeblatt!B8&lt;&gt;"J","",Eingabeblatt!B8)</f>
        <v/>
      </c>
      <c r="D11" s="66">
        <v>0.8</v>
      </c>
      <c r="E11" s="67">
        <f t="shared" si="0"/>
        <v>0</v>
      </c>
    </row>
    <row r="12" spans="2:5">
      <c r="B12" s="68" t="s">
        <v>61</v>
      </c>
      <c r="C12" s="57" t="str">
        <f>IF(Eingabeblatt!B9&lt;&gt;"J","",Eingabeblatt!B9)</f>
        <v/>
      </c>
      <c r="D12" s="57">
        <v>0.4</v>
      </c>
      <c r="E12" s="59">
        <f>IF($C$3&lt;VLOOKUP($C$2,$A$23:$C$28,3),0,($C$3-VLOOKUP($C$2,$A$23:$C$28,3))*D12)</f>
        <v>0</v>
      </c>
    </row>
    <row r="13" spans="2:5">
      <c r="B13" s="60" t="s">
        <v>62</v>
      </c>
      <c r="C13" s="61" t="str">
        <f>IF(Eingabeblatt!B10&lt;&gt;"J","",Eingabeblatt!B10)</f>
        <v/>
      </c>
      <c r="D13" s="61">
        <v>0.4</v>
      </c>
      <c r="E13" s="63">
        <f>IF($C$3&lt;VLOOKUP($C$2,$A$23:$C$28,3),0,($C$3-VLOOKUP($C$2,$A$23:$C$28,3))*D13)</f>
        <v>0</v>
      </c>
    </row>
    <row r="14" spans="2:5" ht="13.5" thickBot="1">
      <c r="B14" s="64" t="s">
        <v>63</v>
      </c>
      <c r="C14" s="65" t="str">
        <f>IF(Eingabeblatt!B11&lt;&gt;"J","",Eingabeblatt!B11)</f>
        <v/>
      </c>
      <c r="D14" s="65">
        <v>0.2</v>
      </c>
      <c r="E14" s="67">
        <f>IF($C$3&lt;VLOOKUP($C$2,$A$23:$C$28,3),0,($C$3-VLOOKUP($C$2,$A$23:$C$28,3))*D14)</f>
        <v>0</v>
      </c>
    </row>
    <row r="15" spans="2:5">
      <c r="D15" t="e">
        <f>IF(C16&gt;30,30,IF(C16&lt;0,0,C16))</f>
        <v>#N/A</v>
      </c>
    </row>
    <row r="16" spans="2:5">
      <c r="B16" t="s">
        <v>64</v>
      </c>
      <c r="C16" s="69" t="e">
        <f>IF(COUNTIF(C6:C14,"j")&gt;1,"Anzahl Struktur !",VLOOKUP("j",C6:E14,3,))</f>
        <v>#N/A</v>
      </c>
      <c r="D16" t="e">
        <f>IF(C16&gt;60,60,IF(C16&lt;0,0,C16))</f>
        <v>#N/A</v>
      </c>
      <c r="E16" t="e">
        <f>IF(C16&gt;170,170,IF(C16&lt;0,0,C16))</f>
        <v>#N/A</v>
      </c>
    </row>
    <row r="17" spans="1:4">
      <c r="B17" s="69" t="s">
        <v>65</v>
      </c>
      <c r="C17" s="70" t="str">
        <f>IF(COUNTIF(C6:C14,"j")&gt;1,"Achtung: Es darf in der Eingabetabelle nur eine Struktur gewählt werden !","Anzahl der in der Eingabetabelle gewählten Strukturen korrekt.")</f>
        <v>Anzahl der in der Eingabetabelle gewählten Strukturen korrekt.</v>
      </c>
    </row>
    <row r="18" spans="1:4">
      <c r="C18" s="71"/>
    </row>
    <row r="22" spans="1:4">
      <c r="A22" s="72" t="s">
        <v>66</v>
      </c>
    </row>
    <row r="23" spans="1:4">
      <c r="A23" s="72">
        <v>0</v>
      </c>
      <c r="B23" t="s">
        <v>7</v>
      </c>
      <c r="C23" s="73">
        <f>1273.99*0.949</f>
        <v>1209.0165099999999</v>
      </c>
      <c r="D23" s="73">
        <f>C23*0.2</f>
        <v>241.803302</v>
      </c>
    </row>
    <row r="24" spans="1:4">
      <c r="A24" s="72">
        <v>1</v>
      </c>
      <c r="B24" t="s">
        <v>8</v>
      </c>
      <c r="C24" s="71">
        <f>C23+D23</f>
        <v>1450.819812</v>
      </c>
    </row>
    <row r="25" spans="1:4">
      <c r="A25" s="72">
        <v>2</v>
      </c>
      <c r="B25" t="s">
        <v>9</v>
      </c>
      <c r="C25" s="71">
        <f>C23+2*D23</f>
        <v>1692.623114</v>
      </c>
    </row>
    <row r="26" spans="1:4">
      <c r="A26" s="72">
        <v>3</v>
      </c>
      <c r="B26" t="s">
        <v>10</v>
      </c>
      <c r="C26" s="71">
        <f>C23+3*D23</f>
        <v>1934.4264159999998</v>
      </c>
    </row>
    <row r="27" spans="1:4" ht="12.75" customHeight="1">
      <c r="A27" s="72">
        <v>4</v>
      </c>
      <c r="B27" t="s">
        <v>11</v>
      </c>
      <c r="C27" s="71">
        <f>C23+4*D23</f>
        <v>2176.229718</v>
      </c>
    </row>
    <row r="28" spans="1:4">
      <c r="A28" s="72">
        <v>5</v>
      </c>
      <c r="B28" t="s">
        <v>12</v>
      </c>
      <c r="C28" s="71">
        <f>C23+5*D23</f>
        <v>2418.0330199999999</v>
      </c>
    </row>
    <row r="29" spans="1:4">
      <c r="B29" s="71"/>
    </row>
    <row r="30" spans="1:4" ht="26.25" customHeight="1"/>
    <row r="31" spans="1:4" ht="24.75" customHeight="1"/>
    <row r="32" spans="1:4" ht="67.5" customHeight="1"/>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E35"/>
  <sheetViews>
    <sheetView workbookViewId="0">
      <selection activeCell="C14" sqref="C14"/>
    </sheetView>
  </sheetViews>
  <sheetFormatPr baseColWidth="10" defaultRowHeight="12.75"/>
  <cols>
    <col min="2" max="2" width="24.140625" customWidth="1"/>
    <col min="3" max="3" width="13.140625" customWidth="1"/>
  </cols>
  <sheetData>
    <row r="2" spans="2:5">
      <c r="B2" t="s">
        <v>1</v>
      </c>
      <c r="C2">
        <f>Eingabeblatt!B13</f>
        <v>0</v>
      </c>
      <c r="D2" t="s">
        <v>53</v>
      </c>
      <c r="E2" t="s">
        <v>6</v>
      </c>
    </row>
    <row r="3" spans="2:5">
      <c r="B3" t="s">
        <v>55</v>
      </c>
      <c r="C3" s="72">
        <f>Eingabeblatt!B3</f>
        <v>0</v>
      </c>
      <c r="D3">
        <v>0.125</v>
      </c>
      <c r="E3">
        <f>$C$2*D3</f>
        <v>0</v>
      </c>
    </row>
    <row r="4" spans="2:5">
      <c r="B4" t="s">
        <v>56</v>
      </c>
      <c r="C4" s="72">
        <f>Eingabeblatt!B4</f>
        <v>0</v>
      </c>
      <c r="D4">
        <v>0.25</v>
      </c>
      <c r="E4">
        <f>$C$2*D4</f>
        <v>0</v>
      </c>
    </row>
    <row r="5" spans="2:5">
      <c r="B5" t="s">
        <v>57</v>
      </c>
      <c r="C5" s="72">
        <f>Eingabeblatt!B5</f>
        <v>0</v>
      </c>
      <c r="D5">
        <v>0.8</v>
      </c>
      <c r="E5">
        <f t="shared" ref="E5:E11" si="0">$C$2*D5</f>
        <v>0</v>
      </c>
    </row>
    <row r="6" spans="2:5">
      <c r="B6" t="s">
        <v>67</v>
      </c>
      <c r="C6" s="72">
        <f>Eingabeblatt!B6</f>
        <v>0</v>
      </c>
      <c r="D6">
        <v>0.25</v>
      </c>
      <c r="E6">
        <f t="shared" si="0"/>
        <v>0</v>
      </c>
    </row>
    <row r="7" spans="2:5">
      <c r="B7" t="s">
        <v>68</v>
      </c>
      <c r="C7" s="72">
        <f>Eingabeblatt!B7</f>
        <v>0</v>
      </c>
      <c r="D7">
        <v>0.125</v>
      </c>
      <c r="E7">
        <f t="shared" si="0"/>
        <v>0</v>
      </c>
    </row>
    <row r="8" spans="2:5">
      <c r="B8" t="s">
        <v>69</v>
      </c>
      <c r="C8" s="72">
        <f>Eingabeblatt!B8</f>
        <v>0</v>
      </c>
      <c r="D8">
        <v>0.7</v>
      </c>
      <c r="E8">
        <f t="shared" si="0"/>
        <v>0</v>
      </c>
    </row>
    <row r="9" spans="2:5">
      <c r="B9" t="s">
        <v>61</v>
      </c>
      <c r="C9" s="72">
        <f>Eingabeblatt!B9</f>
        <v>0</v>
      </c>
      <c r="D9">
        <v>0.3</v>
      </c>
      <c r="E9">
        <f t="shared" si="0"/>
        <v>0</v>
      </c>
    </row>
    <row r="10" spans="2:5">
      <c r="B10" t="s">
        <v>62</v>
      </c>
      <c r="C10" s="72">
        <f>Eingabeblatt!B10</f>
        <v>0</v>
      </c>
      <c r="D10">
        <v>0.25</v>
      </c>
      <c r="E10">
        <f>$C$2*D10</f>
        <v>0</v>
      </c>
    </row>
    <row r="11" spans="2:5">
      <c r="B11" t="s">
        <v>63</v>
      </c>
      <c r="C11" s="72">
        <f>Eingabeblatt!B11</f>
        <v>0</v>
      </c>
      <c r="D11">
        <v>0.125</v>
      </c>
      <c r="E11">
        <f t="shared" si="0"/>
        <v>0</v>
      </c>
    </row>
    <row r="12" spans="2:5">
      <c r="B12" t="s">
        <v>6</v>
      </c>
      <c r="C12" t="b">
        <f>IF(OR(C4="j",C6="j",C10="j"),(C2*0.25),IF(C5="j",(C2*0.8),IF(OR(C3="j",C7="j",C11="j"),(C2*0.125),IF(C8="j",(C2*0.7),IF((C9="j"),(C2*0.3))))))</f>
        <v>0</v>
      </c>
    </row>
    <row r="13" spans="2:5">
      <c r="B13" t="s">
        <v>13</v>
      </c>
      <c r="C13">
        <f>C2-C12</f>
        <v>0</v>
      </c>
      <c r="D13" s="74">
        <f>IF(C13&lt;=0.1*C20,0.1*C20,C2-57.7)</f>
        <v>57.7</v>
      </c>
    </row>
    <row r="14" spans="2:5" ht="22.5">
      <c r="B14" s="75" t="s">
        <v>70</v>
      </c>
      <c r="C14">
        <f>IF(C2-C12&gt;=0.1*C20,C12,C2-57.7)</f>
        <v>-57.7</v>
      </c>
    </row>
    <row r="15" spans="2:5">
      <c r="B15" s="75"/>
    </row>
    <row r="17" spans="2:4">
      <c r="B17" s="76" t="s">
        <v>14</v>
      </c>
    </row>
    <row r="18" spans="2:4">
      <c r="B18" s="77" t="s">
        <v>15</v>
      </c>
      <c r="C18" s="78">
        <v>200.8</v>
      </c>
      <c r="D18" s="79" t="s">
        <v>71</v>
      </c>
    </row>
    <row r="19" spans="2:4">
      <c r="B19" s="77" t="s">
        <v>16</v>
      </c>
      <c r="C19" s="78">
        <v>370.3</v>
      </c>
    </row>
    <row r="20" spans="2:4">
      <c r="B20" s="80" t="s">
        <v>17</v>
      </c>
      <c r="C20" s="78">
        <v>577</v>
      </c>
    </row>
    <row r="21" spans="2:4">
      <c r="B21" s="77" t="s">
        <v>18</v>
      </c>
      <c r="C21" s="78">
        <v>865.1</v>
      </c>
    </row>
    <row r="22" spans="2:4">
      <c r="B22" s="77" t="s">
        <v>19</v>
      </c>
      <c r="C22" s="78">
        <v>1175.2</v>
      </c>
    </row>
    <row r="23" spans="2:4">
      <c r="B23" s="77" t="s">
        <v>20</v>
      </c>
      <c r="C23" s="78">
        <v>1641.1</v>
      </c>
    </row>
    <row r="24" spans="2:4">
      <c r="B24" s="77" t="s">
        <v>21</v>
      </c>
      <c r="C24" s="78">
        <v>2156.6</v>
      </c>
    </row>
    <row r="28" spans="2:4">
      <c r="B28" s="81" t="s">
        <v>22</v>
      </c>
    </row>
    <row r="29" spans="2:4">
      <c r="B29" t="s">
        <v>15</v>
      </c>
      <c r="C29" s="82">
        <v>192</v>
      </c>
    </row>
    <row r="30" spans="2:4">
      <c r="B30" t="s">
        <v>16</v>
      </c>
      <c r="C30" s="82">
        <v>354</v>
      </c>
    </row>
    <row r="31" spans="2:4">
      <c r="B31" s="80" t="s">
        <v>17</v>
      </c>
      <c r="C31" s="83">
        <v>551.6</v>
      </c>
    </row>
    <row r="32" spans="2:4">
      <c r="B32" t="s">
        <v>18</v>
      </c>
      <c r="C32" s="82">
        <v>827.1</v>
      </c>
    </row>
    <row r="33" spans="2:3">
      <c r="B33" t="s">
        <v>19</v>
      </c>
      <c r="C33" s="82">
        <v>1123.5</v>
      </c>
    </row>
    <row r="34" spans="2:3">
      <c r="B34" t="s">
        <v>20</v>
      </c>
      <c r="C34" s="82">
        <v>1568.9</v>
      </c>
    </row>
    <row r="35" spans="2:3">
      <c r="B35" t="s">
        <v>21</v>
      </c>
      <c r="C35" s="82">
        <v>2061.8000000000002</v>
      </c>
    </row>
  </sheetData>
  <hyperlinks>
    <hyperlink ref="D18" r:id="rId1"/>
  </hyperlinks>
  <pageMargins left="0.7" right="0.7" top="0.78740157499999996" bottom="0.78740157499999996" header="0.3" footer="0.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topLeftCell="A34" workbookViewId="0">
      <selection activeCell="E35" sqref="E34:E35"/>
    </sheetView>
  </sheetViews>
  <sheetFormatPr baseColWidth="10" defaultRowHeight="12.75"/>
  <cols>
    <col min="1" max="1" width="39.140625" customWidth="1"/>
    <col min="2" max="2" width="65.85546875" customWidth="1"/>
  </cols>
  <sheetData>
    <row r="1" spans="2:9">
      <c r="B1" t="s">
        <v>47</v>
      </c>
      <c r="C1">
        <f>Eingabeblatt!B23</f>
        <v>0</v>
      </c>
      <c r="H1">
        <f>Eingabeblatt!C23</f>
        <v>0</v>
      </c>
    </row>
    <row r="2" spans="2:9">
      <c r="B2" t="s">
        <v>41</v>
      </c>
      <c r="C2" s="111">
        <f>Eingabeblatt!B24</f>
        <v>0</v>
      </c>
      <c r="D2">
        <f>IF(C2&lt;6,C43,IF(AND(C2&gt;=6,C2&lt;10),C44,IF(AND(C2&gt;=10,C2&lt;15),C45,IF(C2&gt;=15,C46))))</f>
        <v>0.16</v>
      </c>
      <c r="H2">
        <f>Eingabeblatt!C24</f>
        <v>0</v>
      </c>
      <c r="I2">
        <f>IF(H2&lt;6,C43,IF(AND(H2&gt;=6,H2&lt;10),C44,IF(AND(H2&gt;=10,H2&lt;15),C45,IF(H2&gt;=15,C46))))</f>
        <v>0.16</v>
      </c>
    </row>
    <row r="3" spans="2:9">
      <c r="B3" t="s">
        <v>72</v>
      </c>
      <c r="C3">
        <f>Eingabeblatt!B25</f>
        <v>0</v>
      </c>
      <c r="H3">
        <f>Eingabeblatt!C25</f>
        <v>0</v>
      </c>
    </row>
    <row r="4" spans="2:9">
      <c r="B4" t="s">
        <v>73</v>
      </c>
      <c r="C4">
        <f>Eingabeblatt!B26</f>
        <v>0</v>
      </c>
      <c r="D4">
        <f>IF(C3="n",0,IF(C4&lt;=(1/9*C1),C48,IF(AND(C4&gt;(1/9*C1),C4&lt;=(2/9*C1)),C49,IF(AND(C4&gt;(2/9*C1),C4&lt;=(3/9*C1)),C50,IF(C4&gt;(3/9*C1),C51)))))</f>
        <v>0.03</v>
      </c>
      <c r="H4">
        <f>Eingabeblatt!C26</f>
        <v>0</v>
      </c>
      <c r="I4">
        <f>IF(H3="n",0,IF(H4&lt;=(1/9*H1),C48,IF(AND(H4&gt;(1/9*H1),H4&lt;=(2/9*H1)),C49,IF(AND(H4&gt;(2/9*H1),H4&lt;=(3/9*H1)),C50,IF(H4&gt;(3/9*H1),C51)))))</f>
        <v>0.03</v>
      </c>
    </row>
    <row r="5" spans="2:9">
      <c r="B5" t="s">
        <v>44</v>
      </c>
      <c r="C5">
        <f>Eingabeblatt!B27</f>
        <v>0</v>
      </c>
      <c r="D5">
        <f>C5*C52</f>
        <v>0</v>
      </c>
      <c r="H5">
        <f>Eingabeblatt!C27</f>
        <v>0</v>
      </c>
      <c r="I5">
        <f>H5*C52</f>
        <v>0</v>
      </c>
    </row>
    <row r="6" spans="2:9">
      <c r="B6" t="s">
        <v>45</v>
      </c>
      <c r="C6">
        <f>Eingabeblatt!B28</f>
        <v>0</v>
      </c>
      <c r="D6">
        <f>C6*C53</f>
        <v>0</v>
      </c>
      <c r="H6">
        <f>Eingabeblatt!C28</f>
        <v>0</v>
      </c>
      <c r="I6">
        <f>H6*C53</f>
        <v>0</v>
      </c>
    </row>
    <row r="7" spans="2:9">
      <c r="B7" t="s">
        <v>74</v>
      </c>
      <c r="C7">
        <f>IF(AND(C2&lt;5,C1*D7&gt;C56),C56,IF(AND(C2&gt;=5,C2&lt;9,C1*D7&gt;C57),C57,IF(AND(C2&gt;=9,C2&lt;14,C1*D7&gt;C58),C58,IF(AND(C2&gt;=14,C2&lt;19,C1*D7&gt;C59),C59,IF(AND(C2&gt;=19,C1*D7&gt;C60),C60,C1*D7)))))</f>
        <v>0</v>
      </c>
      <c r="D7">
        <f>D2-D4-D5-D6</f>
        <v>0.13</v>
      </c>
      <c r="H7">
        <f>IF(AND(H2&lt;5,H1*I7&gt;C56),C56,IF(AND(H2&gt;=5,H2&lt;9,H1*I7&gt;C57),C57,IF(AND(H2&gt;=9,H2&lt;14,H1*I7&gt;C58),C58,IF(AND(H2&gt;=14,H2&lt;19,H1*I7&gt;C59),C59,IF(AND(H2&gt;=19,,H1*I7&gt;C60),C60,H1*I7)))))</f>
        <v>0</v>
      </c>
      <c r="I7">
        <f>I2-I4-I5-I6</f>
        <v>0.13</v>
      </c>
    </row>
    <row r="12" spans="2:9">
      <c r="B12" t="s">
        <v>6</v>
      </c>
      <c r="C12" s="73" t="b">
        <f>IF(OR(G44="j",G48="j",G52="j"),(C7/6),IF(OR(G45="j",G47="j",G50="j",G51="j"),(C7/3),IF(OR(G46="j",G49="j"),(C7*2/3))))</f>
        <v>0</v>
      </c>
      <c r="H12" s="73" t="b">
        <f>IF(OR(G44="j",G48="j",G52="j"),(H7/6),IF(OR(G45="j",G47="j",G50="j",G51="j"),(H7/3),IF(OR(G46="j",G49="j"),(H7*2/3))))</f>
        <v>0</v>
      </c>
    </row>
    <row r="14" spans="2:9">
      <c r="B14" t="s">
        <v>75</v>
      </c>
      <c r="C14" s="84">
        <f>C1-C12</f>
        <v>0</v>
      </c>
      <c r="D14" s="72"/>
      <c r="E14" s="72"/>
      <c r="F14" s="72"/>
      <c r="G14" s="72"/>
      <c r="H14" s="85">
        <f>H1-H12</f>
        <v>0</v>
      </c>
    </row>
    <row r="15" spans="2:9" ht="38.25">
      <c r="B15" s="86" t="s">
        <v>76</v>
      </c>
      <c r="C15" s="87">
        <f>IF(AND(C3="j",C4=0),1+1+C5+C6,1+C5+C6)</f>
        <v>1</v>
      </c>
      <c r="D15" s="72"/>
      <c r="E15" s="72"/>
      <c r="F15" s="72"/>
      <c r="G15" s="72"/>
      <c r="H15" s="88">
        <f>IF(AND(H3="j",H4=0),1+1+H5+H6,1+H5+H6)</f>
        <v>1</v>
      </c>
    </row>
    <row r="16" spans="2:9" ht="37.5" customHeight="1">
      <c r="B16" s="86" t="s">
        <v>77</v>
      </c>
      <c r="C16" s="84">
        <f>VLOOKUP(C15,A110:C114,3)</f>
        <v>1088.114859</v>
      </c>
      <c r="D16" s="72"/>
      <c r="E16" s="72"/>
      <c r="F16" s="72"/>
      <c r="G16" s="72"/>
      <c r="H16" s="85">
        <f>VLOOKUP(H15,A110:C114,3)</f>
        <v>1088.114859</v>
      </c>
    </row>
    <row r="17" spans="2:9" ht="11.25" customHeight="1">
      <c r="C17" s="71"/>
      <c r="D17" s="72"/>
      <c r="E17" s="72"/>
      <c r="F17" s="72"/>
      <c r="G17" s="72"/>
      <c r="H17" s="89"/>
    </row>
    <row r="18" spans="2:9">
      <c r="B18" t="s">
        <v>33</v>
      </c>
      <c r="C18" s="90">
        <f>IF(C14&lt;=C16,(C1-C16),C12)</f>
        <v>-1088.114859</v>
      </c>
      <c r="D18" s="91">
        <f>IF((ROUND(C18,0)+C16)&gt;C1,ROUNDDOWN(C18,0),ROUND(C18,0))</f>
        <v>-1088</v>
      </c>
      <c r="E18" s="92"/>
      <c r="F18" s="72"/>
      <c r="G18" s="91">
        <f>IF((ROUND(H18,0)+H16)&gt;H1,ROUNDDOWN(H18,0),ROUND(H18,0))</f>
        <v>-1088</v>
      </c>
      <c r="H18" s="90">
        <f>IF(H14&lt;=H16,(H1-H16),H12)</f>
        <v>-1088.114859</v>
      </c>
    </row>
    <row r="19" spans="2:9">
      <c r="B19" t="s">
        <v>78</v>
      </c>
      <c r="C19">
        <f>C7-C12</f>
        <v>0</v>
      </c>
    </row>
    <row r="20" spans="2:9">
      <c r="B20" t="s">
        <v>79</v>
      </c>
      <c r="C20" s="92">
        <f>IF(C18&gt;60,60,IF(C18&lt;0,0,C18))</f>
        <v>0</v>
      </c>
      <c r="D20" s="92">
        <f>IF(C18&gt;30,30,IF(C18&lt;0,0,C18))</f>
        <v>0</v>
      </c>
      <c r="G20" s="92">
        <f>IF(H18&gt;30,30,IF(H18&lt;0,0,H18))</f>
        <v>0</v>
      </c>
      <c r="H20" s="92">
        <f>IF(H18&gt;60,60,IF(H18&lt;0,0,H18))</f>
        <v>0</v>
      </c>
    </row>
    <row r="21" spans="2:9">
      <c r="B21" t="s">
        <v>80</v>
      </c>
      <c r="C21" s="92">
        <f>IF(C18&gt;170,170,IF(C18&lt;0,0,C18))</f>
        <v>0</v>
      </c>
      <c r="H21" s="92">
        <f>IF(H18&gt;170,170,IF(H18&lt;0,0,H18))</f>
        <v>0</v>
      </c>
    </row>
    <row r="24" spans="2:9" ht="145.5">
      <c r="B24" s="93" t="s">
        <v>81</v>
      </c>
      <c r="C24" s="94" t="s">
        <v>82</v>
      </c>
      <c r="D24" s="94" t="s">
        <v>83</v>
      </c>
      <c r="E24" s="94" t="s">
        <v>84</v>
      </c>
      <c r="F24" s="94" t="s">
        <v>72</v>
      </c>
      <c r="G24" s="94" t="s">
        <v>85</v>
      </c>
      <c r="H24" s="95" t="s">
        <v>5</v>
      </c>
      <c r="I24" s="95" t="s">
        <v>86</v>
      </c>
    </row>
    <row r="25" spans="2:9">
      <c r="B25" s="96" t="b">
        <f>IF(AND(C1-C12&lt;=C110,C5+C6=0,C3="n",C4=0),(C1-C110),C12)</f>
        <v>0</v>
      </c>
      <c r="C25" s="97">
        <f>$C$1-$C$12</f>
        <v>0</v>
      </c>
      <c r="D25" s="97">
        <f>C110</f>
        <v>1088.114859</v>
      </c>
      <c r="E25" s="98">
        <v>0</v>
      </c>
      <c r="F25" s="98" t="s">
        <v>87</v>
      </c>
      <c r="G25" s="98">
        <v>0</v>
      </c>
      <c r="H25" s="99"/>
      <c r="I25" s="98">
        <v>1</v>
      </c>
    </row>
    <row r="26" spans="2:9">
      <c r="B26" s="96" t="b">
        <f>IF(AND(C1-C12&lt;=C111,C5+C6=1,C3="n",C4=0),(C1-C111),C12)</f>
        <v>0</v>
      </c>
      <c r="C26" s="97">
        <f t="shared" ref="C26:C38" si="0">$C$1-$C$12</f>
        <v>0</v>
      </c>
      <c r="D26" s="97">
        <f>C111</f>
        <v>1269.4673355</v>
      </c>
      <c r="E26" s="98">
        <v>1</v>
      </c>
      <c r="F26" s="98" t="s">
        <v>87</v>
      </c>
      <c r="G26" s="98">
        <v>0</v>
      </c>
      <c r="H26" s="99"/>
      <c r="I26" s="98">
        <v>2</v>
      </c>
    </row>
    <row r="27" spans="2:9">
      <c r="B27" s="96" t="b">
        <f>IF(AND(C1-C12&lt;=C112,C5+C6=2,C3="n",C4=0),(C1-C112),C12)</f>
        <v>0</v>
      </c>
      <c r="C27" s="97">
        <f t="shared" si="0"/>
        <v>0</v>
      </c>
      <c r="D27" s="97">
        <f>C112</f>
        <v>1450.819812</v>
      </c>
      <c r="E27" s="98">
        <v>2</v>
      </c>
      <c r="F27" s="98" t="s">
        <v>87</v>
      </c>
      <c r="G27" s="98">
        <v>0</v>
      </c>
      <c r="H27" s="99"/>
      <c r="I27" s="98">
        <v>3</v>
      </c>
    </row>
    <row r="28" spans="2:9">
      <c r="B28" s="96" t="b">
        <f>IF(AND(C1-C12&lt;=C113,C5+C6=3,C3="n",C4=0),(C1-C113),C12)</f>
        <v>0</v>
      </c>
      <c r="C28" s="97">
        <f t="shared" si="0"/>
        <v>0</v>
      </c>
      <c r="D28" s="97">
        <f>C113</f>
        <v>1632.1722884999999</v>
      </c>
      <c r="E28" s="98">
        <v>3</v>
      </c>
      <c r="F28" s="98" t="s">
        <v>87</v>
      </c>
      <c r="G28" s="98">
        <v>0</v>
      </c>
      <c r="H28" s="99"/>
      <c r="I28" s="98">
        <v>4</v>
      </c>
    </row>
    <row r="29" spans="2:9">
      <c r="B29" s="96" t="b">
        <f>IF(AND(C1-C12&lt;=C114,C5+C6&gt;=4),(C1-C114),C12)</f>
        <v>0</v>
      </c>
      <c r="C29" s="97">
        <f t="shared" si="0"/>
        <v>0</v>
      </c>
      <c r="D29" s="97">
        <f>C114</f>
        <v>1813.5247649999999</v>
      </c>
      <c r="E29" s="98" t="s">
        <v>88</v>
      </c>
      <c r="F29" s="98"/>
      <c r="G29" s="98"/>
      <c r="H29" s="99"/>
      <c r="I29" s="98">
        <v>5</v>
      </c>
    </row>
    <row r="30" spans="2:9">
      <c r="B30" s="96" t="b">
        <f>IF(AND(C1-C12&lt;=C110,C5+C6=0,C3="j",C4&gt;0),(C1-C110),C12)</f>
        <v>0</v>
      </c>
      <c r="C30" s="97">
        <f t="shared" si="0"/>
        <v>0</v>
      </c>
      <c r="D30" s="97">
        <f>C110</f>
        <v>1088.114859</v>
      </c>
      <c r="E30" s="98">
        <v>0</v>
      </c>
      <c r="F30" s="98" t="s">
        <v>89</v>
      </c>
      <c r="G30" s="98" t="s">
        <v>90</v>
      </c>
      <c r="H30" s="99"/>
      <c r="I30" s="98">
        <v>1</v>
      </c>
    </row>
    <row r="31" spans="2:9">
      <c r="B31" s="96" t="b">
        <f>IF(AND(C1-C12&lt;=C111,C5+C6=1,C3="j",C4&gt;0),(C1-C111),C12)</f>
        <v>0</v>
      </c>
      <c r="C31" s="97">
        <f t="shared" si="0"/>
        <v>0</v>
      </c>
      <c r="D31" s="97">
        <f>C111</f>
        <v>1269.4673355</v>
      </c>
      <c r="E31" s="98">
        <v>1</v>
      </c>
      <c r="F31" s="98" t="s">
        <v>89</v>
      </c>
      <c r="G31" s="98" t="s">
        <v>90</v>
      </c>
      <c r="H31" s="99"/>
      <c r="I31" s="98">
        <v>2</v>
      </c>
    </row>
    <row r="32" spans="2:9">
      <c r="B32" s="96" t="b">
        <f>IF(AND(C1-C12&lt;=C112,C5+C6=2,C3="j",C4&gt;0),(C1-C112),C12)</f>
        <v>0</v>
      </c>
      <c r="C32" s="97">
        <f t="shared" si="0"/>
        <v>0</v>
      </c>
      <c r="D32" s="97">
        <f>C112</f>
        <v>1450.819812</v>
      </c>
      <c r="E32" s="98">
        <v>2</v>
      </c>
      <c r="F32" s="98" t="s">
        <v>89</v>
      </c>
      <c r="G32" s="98" t="s">
        <v>90</v>
      </c>
      <c r="H32" s="99"/>
      <c r="I32" s="98">
        <v>3</v>
      </c>
    </row>
    <row r="33" spans="2:9">
      <c r="B33" s="96" t="b">
        <f>IF(AND(C1-C12&lt;=C113,C5+C6=3,C3="j",C4&gt;0),(C1-C113),C12)</f>
        <v>0</v>
      </c>
      <c r="C33" s="97">
        <f t="shared" si="0"/>
        <v>0</v>
      </c>
      <c r="D33" s="97">
        <f>C113</f>
        <v>1632.1722884999999</v>
      </c>
      <c r="E33" s="98">
        <v>3</v>
      </c>
      <c r="F33" s="98" t="s">
        <v>89</v>
      </c>
      <c r="G33" s="98" t="s">
        <v>90</v>
      </c>
      <c r="H33" s="99"/>
      <c r="I33" s="98">
        <v>4</v>
      </c>
    </row>
    <row r="34" spans="2:9">
      <c r="B34" s="96" t="b">
        <f>IF(AND(C1-C12&lt;=C114,C5+C6=3,C3="j",C4&gt;0),(C1-C114),C12)</f>
        <v>0</v>
      </c>
      <c r="C34" s="97">
        <f t="shared" si="0"/>
        <v>0</v>
      </c>
      <c r="D34" s="97">
        <f>C114</f>
        <v>1813.5247649999999</v>
      </c>
      <c r="E34" s="98">
        <v>4</v>
      </c>
      <c r="F34" s="98" t="s">
        <v>89</v>
      </c>
      <c r="G34" s="98" t="s">
        <v>90</v>
      </c>
      <c r="H34" s="99"/>
      <c r="I34" s="98">
        <v>5</v>
      </c>
    </row>
    <row r="35" spans="2:9">
      <c r="B35" s="96" t="b">
        <f>IF(AND(C1-C12&lt;=C111,C5+C6=0,C3="j",C4=0),(C1-C111),C12)</f>
        <v>0</v>
      </c>
      <c r="C35" s="97">
        <f t="shared" si="0"/>
        <v>0</v>
      </c>
      <c r="D35" s="97">
        <f>C111</f>
        <v>1269.4673355</v>
      </c>
      <c r="E35" s="98">
        <v>0</v>
      </c>
      <c r="F35" s="98" t="s">
        <v>89</v>
      </c>
      <c r="G35" s="98">
        <v>0</v>
      </c>
      <c r="H35" s="99"/>
      <c r="I35" s="98">
        <v>2</v>
      </c>
    </row>
    <row r="36" spans="2:9">
      <c r="B36" s="96" t="b">
        <f>IF(AND(C1-C12&lt;=C112,C5+C6=1,C3="j",C4=0),(C1-C112),C12)</f>
        <v>0</v>
      </c>
      <c r="C36" s="97">
        <f t="shared" si="0"/>
        <v>0</v>
      </c>
      <c r="D36" s="97">
        <f>C112</f>
        <v>1450.819812</v>
      </c>
      <c r="E36" s="98">
        <v>1</v>
      </c>
      <c r="F36" s="98" t="s">
        <v>89</v>
      </c>
      <c r="G36" s="98">
        <v>0</v>
      </c>
      <c r="H36" s="99"/>
      <c r="I36" s="98">
        <v>3</v>
      </c>
    </row>
    <row r="37" spans="2:9">
      <c r="B37" s="96" t="b">
        <f>IF(AND(C1-C12&lt;=C113,C5+C6=2,C3="j",C4=0),(C1-C113),C12)</f>
        <v>0</v>
      </c>
      <c r="C37" s="97">
        <f t="shared" si="0"/>
        <v>0</v>
      </c>
      <c r="D37" s="97">
        <f>C113</f>
        <v>1632.1722884999999</v>
      </c>
      <c r="E37" s="98">
        <v>2</v>
      </c>
      <c r="F37" s="98" t="s">
        <v>89</v>
      </c>
      <c r="G37" s="98">
        <v>0</v>
      </c>
      <c r="H37" s="99"/>
      <c r="I37" s="98">
        <v>4</v>
      </c>
    </row>
    <row r="38" spans="2:9">
      <c r="B38" s="96" t="b">
        <f>IF(AND(C1-C12&lt;=C114,C5+C6=3,C3="j",C4=0),(C1-C114),C12)</f>
        <v>0</v>
      </c>
      <c r="C38" s="97">
        <f t="shared" si="0"/>
        <v>0</v>
      </c>
      <c r="D38" s="97">
        <f>C114</f>
        <v>1813.5247649999999</v>
      </c>
      <c r="E38" s="98">
        <v>3</v>
      </c>
      <c r="F38" s="98" t="s">
        <v>89</v>
      </c>
      <c r="G38" s="98">
        <v>0</v>
      </c>
      <c r="H38" s="99"/>
      <c r="I38" s="98">
        <v>5</v>
      </c>
    </row>
    <row r="42" spans="2:9">
      <c r="B42" s="100" t="s">
        <v>91</v>
      </c>
      <c r="D42" s="79" t="s">
        <v>92</v>
      </c>
    </row>
    <row r="43" spans="2:9">
      <c r="B43" s="101" t="s">
        <v>93</v>
      </c>
      <c r="C43" s="102">
        <v>0.16</v>
      </c>
    </row>
    <row r="44" spans="2:9">
      <c r="B44" s="101" t="s">
        <v>94</v>
      </c>
      <c r="C44" s="102">
        <v>0.18</v>
      </c>
      <c r="F44" t="s">
        <v>55</v>
      </c>
      <c r="G44">
        <f>Eingabeblatt!B3</f>
        <v>0</v>
      </c>
    </row>
    <row r="45" spans="2:9">
      <c r="B45" s="101" t="s">
        <v>95</v>
      </c>
      <c r="C45" s="102">
        <v>0.2</v>
      </c>
      <c r="F45" t="s">
        <v>56</v>
      </c>
      <c r="G45">
        <f>Eingabeblatt!B4</f>
        <v>0</v>
      </c>
    </row>
    <row r="46" spans="2:9">
      <c r="B46" s="101" t="s">
        <v>96</v>
      </c>
      <c r="C46" s="102">
        <v>0.22</v>
      </c>
      <c r="F46" t="s">
        <v>57</v>
      </c>
      <c r="G46">
        <f>Eingabeblatt!B5</f>
        <v>0</v>
      </c>
    </row>
    <row r="47" spans="2:9">
      <c r="B47" s="103" t="s">
        <v>97</v>
      </c>
      <c r="F47" t="s">
        <v>58</v>
      </c>
      <c r="G47">
        <f>Eingabeblatt!B6</f>
        <v>0</v>
      </c>
    </row>
    <row r="48" spans="2:9">
      <c r="B48" s="104" t="s">
        <v>98</v>
      </c>
      <c r="C48" s="102">
        <v>0.03</v>
      </c>
      <c r="F48" t="s">
        <v>59</v>
      </c>
      <c r="G48">
        <f>Eingabeblatt!B7</f>
        <v>0</v>
      </c>
    </row>
    <row r="49" spans="1:7">
      <c r="B49" s="104" t="s">
        <v>99</v>
      </c>
      <c r="C49" s="102">
        <v>0.02</v>
      </c>
      <c r="F49" t="s">
        <v>60</v>
      </c>
      <c r="G49">
        <f>Eingabeblatt!B8</f>
        <v>0</v>
      </c>
    </row>
    <row r="50" spans="1:7">
      <c r="B50" s="104" t="s">
        <v>100</v>
      </c>
      <c r="C50" s="102">
        <v>0.01</v>
      </c>
      <c r="F50" t="s">
        <v>61</v>
      </c>
      <c r="G50">
        <f>Eingabeblatt!B9</f>
        <v>0</v>
      </c>
    </row>
    <row r="51" spans="1:7">
      <c r="B51" s="104" t="s">
        <v>101</v>
      </c>
      <c r="C51" s="102">
        <v>0</v>
      </c>
      <c r="F51" t="s">
        <v>62</v>
      </c>
      <c r="G51">
        <f>Eingabeblatt!B10</f>
        <v>0</v>
      </c>
    </row>
    <row r="52" spans="1:7">
      <c r="A52" s="105" t="s">
        <v>102</v>
      </c>
      <c r="B52" s="80" t="s">
        <v>103</v>
      </c>
      <c r="C52" s="102">
        <v>0.01</v>
      </c>
      <c r="F52" t="s">
        <v>63</v>
      </c>
      <c r="G52">
        <f>Eingabeblatt!B11</f>
        <v>0</v>
      </c>
    </row>
    <row r="53" spans="1:7">
      <c r="B53" s="80" t="s">
        <v>104</v>
      </c>
      <c r="C53" s="102">
        <v>0.02</v>
      </c>
    </row>
    <row r="55" spans="1:7">
      <c r="B55" t="s">
        <v>105</v>
      </c>
      <c r="C55" s="106" t="s">
        <v>106</v>
      </c>
      <c r="D55" s="107">
        <v>2025</v>
      </c>
      <c r="E55" s="79" t="s">
        <v>107</v>
      </c>
    </row>
    <row r="56" spans="1:7">
      <c r="B56" t="s">
        <v>108</v>
      </c>
      <c r="C56" s="71">
        <f>D56*2.5</f>
        <v>875</v>
      </c>
      <c r="D56" s="108">
        <v>350</v>
      </c>
    </row>
    <row r="57" spans="1:7">
      <c r="B57" t="s">
        <v>109</v>
      </c>
      <c r="C57" s="71">
        <f>D57*2.5</f>
        <v>1100</v>
      </c>
      <c r="D57" s="108">
        <v>440</v>
      </c>
    </row>
    <row r="58" spans="1:7">
      <c r="B58" t="s">
        <v>110</v>
      </c>
      <c r="C58" s="71">
        <f>D58*2.5</f>
        <v>1350</v>
      </c>
      <c r="D58" s="108">
        <v>540</v>
      </c>
    </row>
    <row r="59" spans="1:7">
      <c r="B59" t="s">
        <v>111</v>
      </c>
      <c r="C59" s="71">
        <f>D59*2.5</f>
        <v>1675</v>
      </c>
      <c r="D59" s="108">
        <v>670</v>
      </c>
    </row>
    <row r="60" spans="1:7">
      <c r="B60" t="s">
        <v>112</v>
      </c>
      <c r="C60" s="71">
        <f>D60*2.5</f>
        <v>1925</v>
      </c>
      <c r="D60" s="108">
        <v>770</v>
      </c>
    </row>
    <row r="61" spans="1:7">
      <c r="C61" s="71"/>
    </row>
    <row r="62" spans="1:7">
      <c r="C62" s="71"/>
    </row>
    <row r="63" spans="1:7">
      <c r="C63" s="71"/>
    </row>
    <row r="66" spans="2:3">
      <c r="B66" t="s">
        <v>113</v>
      </c>
    </row>
    <row r="67" spans="2:3">
      <c r="B67" t="s">
        <v>47</v>
      </c>
      <c r="C67">
        <f>Eingabeblatt!B31</f>
        <v>0</v>
      </c>
    </row>
    <row r="68" spans="2:3">
      <c r="B68" t="s">
        <v>114</v>
      </c>
      <c r="C68">
        <f>Eingabeblatt!B32</f>
        <v>0</v>
      </c>
    </row>
    <row r="69" spans="2:3">
      <c r="B69" t="s">
        <v>49</v>
      </c>
      <c r="C69">
        <f>Eingabeblatt!B33</f>
        <v>0</v>
      </c>
    </row>
    <row r="70" spans="2:3">
      <c r="B70" t="s">
        <v>115</v>
      </c>
      <c r="C70" s="71">
        <f>IF(AND(C68&gt;0,C68&lt;=C67),((C67+C68)*(0.4-C69*0.04)-C68),C67*(C74-C69*0.04))</f>
        <v>0</v>
      </c>
    </row>
    <row r="72" spans="2:3">
      <c r="B72" s="109" t="s">
        <v>116</v>
      </c>
    </row>
    <row r="73" spans="2:3">
      <c r="B73" s="69" t="s">
        <v>117</v>
      </c>
      <c r="C73" s="102">
        <v>0.04</v>
      </c>
    </row>
    <row r="74" spans="2:3">
      <c r="B74" s="69" t="s">
        <v>118</v>
      </c>
      <c r="C74" s="102">
        <v>0.33</v>
      </c>
    </row>
    <row r="76" spans="2:3">
      <c r="B76" t="s">
        <v>6</v>
      </c>
      <c r="C76" t="b">
        <f>IF(OR(G44="j",G52="j"),(C70/6),IF(G45="j",(C70/3),IF(G46="j",(C70*2/3),IF(G47="j",0,IF(G48="j",0,IF(G49="j",0,IF(OR(G50="j",G51="j",G53="j"),(C70/3))))))))</f>
        <v>0</v>
      </c>
    </row>
    <row r="78" spans="2:3">
      <c r="B78" t="s">
        <v>119</v>
      </c>
      <c r="C78" s="84">
        <f>C67-C76</f>
        <v>0</v>
      </c>
    </row>
    <row r="79" spans="2:3" ht="27" customHeight="1">
      <c r="B79" s="86" t="s">
        <v>120</v>
      </c>
      <c r="C79" s="87">
        <f>IF(C68=0,1+C69,C69)</f>
        <v>1</v>
      </c>
    </row>
    <row r="80" spans="2:3" ht="31.5" customHeight="1">
      <c r="B80" s="86" t="s">
        <v>77</v>
      </c>
      <c r="C80" s="84">
        <f>VLOOKUP(C79,A109:C114,3)</f>
        <v>1088.114859</v>
      </c>
    </row>
    <row r="81" spans="2:7">
      <c r="C81" s="71"/>
    </row>
    <row r="82" spans="2:7">
      <c r="B82" t="s">
        <v>33</v>
      </c>
      <c r="C82" s="73">
        <f>IF(C78&lt;=C80,(C67-C80),C76)</f>
        <v>-1088.114859</v>
      </c>
      <c r="D82" s="110">
        <f>IF((ROUND(C82,0)+C80)&gt;C67,ROUNDDOWN(C82,0),ROUND(C82,0))</f>
        <v>-1088</v>
      </c>
    </row>
    <row r="83" spans="2:7">
      <c r="B83" t="s">
        <v>78</v>
      </c>
      <c r="C83" s="71">
        <f>C70-C76</f>
        <v>0</v>
      </c>
    </row>
    <row r="86" spans="2:7" ht="145.5">
      <c r="B86" s="93" t="s">
        <v>81</v>
      </c>
      <c r="C86" s="94" t="s">
        <v>82</v>
      </c>
      <c r="D86" s="94" t="s">
        <v>83</v>
      </c>
      <c r="E86" s="94" t="s">
        <v>49</v>
      </c>
      <c r="F86" s="94" t="s">
        <v>48</v>
      </c>
      <c r="G86" s="95" t="s">
        <v>121</v>
      </c>
    </row>
    <row r="87" spans="2:7">
      <c r="B87" s="96">
        <f>IF(AND(C67-C76&lt;=C110,C69=0,C68=0),(C67-C110),C76)</f>
        <v>-1088.114859</v>
      </c>
      <c r="C87" s="97">
        <f t="shared" ref="C87:C98" si="1">$C$67-$C$76</f>
        <v>0</v>
      </c>
      <c r="D87" s="97">
        <f>C110</f>
        <v>1088.114859</v>
      </c>
      <c r="E87" s="98">
        <v>0</v>
      </c>
      <c r="F87" s="98">
        <v>0</v>
      </c>
      <c r="G87" s="98">
        <v>1</v>
      </c>
    </row>
    <row r="88" spans="2:7">
      <c r="B88" s="96" t="b">
        <f>IF(AND(C67-C76&lt;=C111,C69=1,C68=0),(C67-C111),C76)</f>
        <v>0</v>
      </c>
      <c r="C88" s="97">
        <f t="shared" si="1"/>
        <v>0</v>
      </c>
      <c r="D88" s="97">
        <f>C111</f>
        <v>1269.4673355</v>
      </c>
      <c r="E88" s="98">
        <v>1</v>
      </c>
      <c r="F88" s="98">
        <v>0</v>
      </c>
      <c r="G88" s="98">
        <v>2</v>
      </c>
    </row>
    <row r="89" spans="2:7">
      <c r="B89" s="96" t="b">
        <f>IF(AND(C67-C76&lt;=C112,C69=2,C68=0),(C67-C112),C76)</f>
        <v>0</v>
      </c>
      <c r="C89" s="97">
        <f t="shared" si="1"/>
        <v>0</v>
      </c>
      <c r="D89" s="97">
        <f>C112</f>
        <v>1450.819812</v>
      </c>
      <c r="E89" s="98">
        <v>2</v>
      </c>
      <c r="F89" s="98">
        <v>0</v>
      </c>
      <c r="G89" s="98">
        <v>3</v>
      </c>
    </row>
    <row r="90" spans="2:7">
      <c r="B90" s="96" t="b">
        <f>IF(AND(C67-C76&lt;=C113,C69=3,C68=0),(C67-C113),C76)</f>
        <v>0</v>
      </c>
      <c r="C90" s="97">
        <f t="shared" si="1"/>
        <v>0</v>
      </c>
      <c r="D90" s="97">
        <f>C113</f>
        <v>1632.1722884999999</v>
      </c>
      <c r="E90" s="98">
        <v>3</v>
      </c>
      <c r="F90" s="98">
        <v>0</v>
      </c>
      <c r="G90" s="98">
        <v>4</v>
      </c>
    </row>
    <row r="91" spans="2:7">
      <c r="B91" s="96" t="b">
        <f>IF(AND(C67-C76&lt;=C114,C69=4,C68=0),(C67-C114),C76)</f>
        <v>0</v>
      </c>
      <c r="C91" s="97">
        <f t="shared" si="1"/>
        <v>0</v>
      </c>
      <c r="D91" s="97">
        <f>C114</f>
        <v>1813.5247649999999</v>
      </c>
      <c r="E91" s="98">
        <v>4</v>
      </c>
      <c r="F91" s="98">
        <v>0</v>
      </c>
      <c r="G91" s="98">
        <v>5</v>
      </c>
    </row>
    <row r="92" spans="2:7">
      <c r="B92" s="96" t="b">
        <f>IF(AND(C67-C76&lt;=C114,C69&gt;=5),(C67-C114),C76)</f>
        <v>0</v>
      </c>
      <c r="C92" s="97">
        <f t="shared" si="1"/>
        <v>0</v>
      </c>
      <c r="D92" s="97">
        <f>C114</f>
        <v>1813.5247649999999</v>
      </c>
      <c r="E92" s="98" t="s">
        <v>122</v>
      </c>
      <c r="F92" s="98"/>
      <c r="G92" s="98" t="s">
        <v>122</v>
      </c>
    </row>
    <row r="93" spans="2:7">
      <c r="B93" s="96" t="b">
        <f>IF(AND(C67-C76&lt;=C109,C69=0,C68&gt;0),(C67-C109),C76)</f>
        <v>0</v>
      </c>
      <c r="C93" s="97">
        <f t="shared" si="1"/>
        <v>0</v>
      </c>
      <c r="D93" s="97">
        <f t="shared" ref="D93:D98" si="2">C109</f>
        <v>906.76238249999994</v>
      </c>
      <c r="E93" s="98">
        <v>0</v>
      </c>
      <c r="F93" s="98" t="s">
        <v>90</v>
      </c>
      <c r="G93" s="98">
        <v>0</v>
      </c>
    </row>
    <row r="94" spans="2:7">
      <c r="B94" s="96" t="b">
        <f>IF(AND(C67-C76&lt;=C110,C69=1,C68&gt;0),(C67-C110),C76)</f>
        <v>0</v>
      </c>
      <c r="C94" s="97">
        <f t="shared" si="1"/>
        <v>0</v>
      </c>
      <c r="D94" s="97">
        <f t="shared" si="2"/>
        <v>1088.114859</v>
      </c>
      <c r="E94" s="98">
        <v>1</v>
      </c>
      <c r="F94" s="98" t="s">
        <v>90</v>
      </c>
      <c r="G94" s="98">
        <v>1</v>
      </c>
    </row>
    <row r="95" spans="2:7">
      <c r="B95" s="96" t="b">
        <f>IF(AND(C67-C76&lt;=C111,C69=2,C68&gt;0),(C67-C111),C76)</f>
        <v>0</v>
      </c>
      <c r="C95" s="97">
        <f t="shared" si="1"/>
        <v>0</v>
      </c>
      <c r="D95" s="97">
        <f t="shared" si="2"/>
        <v>1269.4673355</v>
      </c>
      <c r="E95" s="98">
        <v>2</v>
      </c>
      <c r="F95" s="98" t="s">
        <v>90</v>
      </c>
      <c r="G95" s="98">
        <v>2</v>
      </c>
    </row>
    <row r="96" spans="2:7">
      <c r="B96" s="96" t="b">
        <f>IF(AND(C67-C76&lt;=C112,C69=3,C68&gt;0),(C67-C112),C76)</f>
        <v>0</v>
      </c>
      <c r="C96" s="97">
        <f t="shared" si="1"/>
        <v>0</v>
      </c>
      <c r="D96" s="97">
        <f t="shared" si="2"/>
        <v>1450.819812</v>
      </c>
      <c r="E96" s="98">
        <v>3</v>
      </c>
      <c r="F96" s="98" t="s">
        <v>90</v>
      </c>
      <c r="G96" s="98">
        <v>3</v>
      </c>
    </row>
    <row r="97" spans="1:7">
      <c r="B97" s="96" t="b">
        <f>IF(AND(C67-C76&lt;=C113,C69=4,C68&gt;0),(C67-C113),C76)</f>
        <v>0</v>
      </c>
      <c r="C97" s="97">
        <f t="shared" si="1"/>
        <v>0</v>
      </c>
      <c r="D97" s="97">
        <f t="shared" si="2"/>
        <v>1632.1722884999999</v>
      </c>
      <c r="E97" s="98">
        <v>4</v>
      </c>
      <c r="F97" s="98" t="s">
        <v>90</v>
      </c>
      <c r="G97" s="98">
        <v>4</v>
      </c>
    </row>
    <row r="98" spans="1:7">
      <c r="B98" s="96" t="b">
        <f>IF(AND(C67-C76&lt;=C114,C69&gt;=5,C68&gt;0),(C67-C114),C76)</f>
        <v>0</v>
      </c>
      <c r="C98" s="97">
        <f t="shared" si="1"/>
        <v>0</v>
      </c>
      <c r="D98" s="97">
        <f t="shared" si="2"/>
        <v>1813.5247649999999</v>
      </c>
      <c r="E98" s="98" t="s">
        <v>122</v>
      </c>
      <c r="F98" s="98" t="s">
        <v>90</v>
      </c>
      <c r="G98" s="98" t="s">
        <v>122</v>
      </c>
    </row>
    <row r="108" spans="1:7">
      <c r="A108" s="72" t="s">
        <v>66</v>
      </c>
    </row>
    <row r="109" spans="1:7">
      <c r="A109" s="72">
        <v>0</v>
      </c>
      <c r="B109" t="s">
        <v>7</v>
      </c>
      <c r="C109" s="73">
        <f>Einkommen!C23-(Einkommen!C23*0.25)</f>
        <v>906.76238249999994</v>
      </c>
      <c r="D109" s="73">
        <f>C109*0.2</f>
        <v>181.35247649999999</v>
      </c>
      <c r="E109" t="s">
        <v>123</v>
      </c>
    </row>
    <row r="110" spans="1:7">
      <c r="A110" s="72">
        <v>1</v>
      </c>
      <c r="B110" t="s">
        <v>8</v>
      </c>
      <c r="C110" s="73">
        <f>C109+D109</f>
        <v>1088.114859</v>
      </c>
    </row>
    <row r="111" spans="1:7">
      <c r="A111" s="72">
        <v>2</v>
      </c>
      <c r="B111" t="s">
        <v>9</v>
      </c>
      <c r="C111" s="73">
        <f>C110+D109</f>
        <v>1269.4673355</v>
      </c>
    </row>
    <row r="112" spans="1:7">
      <c r="A112" s="72">
        <v>3</v>
      </c>
      <c r="B112" t="s">
        <v>10</v>
      </c>
      <c r="C112" s="73">
        <f>C111+D109</f>
        <v>1450.819812</v>
      </c>
    </row>
    <row r="113" spans="1:3">
      <c r="A113" s="72">
        <v>4</v>
      </c>
      <c r="B113" t="s">
        <v>11</v>
      </c>
      <c r="C113" s="73">
        <f>C112+D109</f>
        <v>1632.1722884999999</v>
      </c>
    </row>
    <row r="114" spans="1:3">
      <c r="A114" s="72">
        <v>5</v>
      </c>
      <c r="B114" t="s">
        <v>12</v>
      </c>
      <c r="C114" s="73">
        <f>C113+D109</f>
        <v>1813.5247649999999</v>
      </c>
    </row>
  </sheetData>
  <hyperlinks>
    <hyperlink ref="E55" r:id="rId1" display="https://www.arbeiterkammer.at/beratung/steuerundeinkommen/steuertipps/Steuervorteile_fuer_Familien.html"/>
    <hyperlink ref="D42" r:id="rId2" display="https://www.oesterreich.gv.at/themen/familie_und_partnerschaft/alleinerziehung/5/1/Seite.490532.html"/>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F41"/>
  <sheetViews>
    <sheetView tabSelected="1" workbookViewId="0">
      <selection activeCell="B32" sqref="B32:C32"/>
    </sheetView>
  </sheetViews>
  <sheetFormatPr baseColWidth="10" defaultRowHeight="12.75"/>
  <cols>
    <col min="1" max="1" width="72.28515625" customWidth="1"/>
  </cols>
  <sheetData>
    <row r="1" spans="1:6" ht="15.75">
      <c r="A1" s="1" t="s">
        <v>23</v>
      </c>
      <c r="B1" s="1"/>
      <c r="C1" s="1"/>
      <c r="D1" s="1"/>
      <c r="E1" s="2"/>
      <c r="F1" s="2"/>
    </row>
    <row r="2" spans="1:6" ht="15">
      <c r="A2" s="3" t="s">
        <v>0</v>
      </c>
      <c r="B2" s="142"/>
      <c r="C2" s="142"/>
      <c r="D2" s="143"/>
      <c r="E2" s="2"/>
      <c r="F2" s="2"/>
    </row>
    <row r="3" spans="1:6" ht="15">
      <c r="A3" s="4" t="s">
        <v>24</v>
      </c>
      <c r="B3" s="144"/>
      <c r="C3" s="144"/>
      <c r="D3" s="145"/>
      <c r="E3" s="2"/>
      <c r="F3" s="2"/>
    </row>
    <row r="4" spans="1:6" ht="15">
      <c r="A4" s="4" t="s">
        <v>25</v>
      </c>
      <c r="B4" s="144"/>
      <c r="C4" s="144"/>
      <c r="D4" s="145"/>
      <c r="E4" s="2"/>
      <c r="F4" s="2"/>
    </row>
    <row r="5" spans="1:6" ht="30">
      <c r="A5" s="5" t="s">
        <v>124</v>
      </c>
      <c r="B5" s="144"/>
      <c r="C5" s="144"/>
      <c r="D5" s="145"/>
      <c r="E5" s="2"/>
      <c r="F5" s="2"/>
    </row>
    <row r="6" spans="1:6" ht="15">
      <c r="A6" s="6" t="s">
        <v>26</v>
      </c>
      <c r="B6" s="144"/>
      <c r="C6" s="144"/>
      <c r="D6" s="145"/>
      <c r="E6" s="2"/>
      <c r="F6" s="2"/>
    </row>
    <row r="7" spans="1:6" ht="15">
      <c r="A7" s="6" t="s">
        <v>27</v>
      </c>
      <c r="B7" s="148"/>
      <c r="C7" s="149"/>
      <c r="D7" s="150"/>
      <c r="E7" s="2"/>
      <c r="F7" s="2"/>
    </row>
    <row r="8" spans="1:6" ht="30">
      <c r="A8" s="4" t="s">
        <v>28</v>
      </c>
      <c r="B8" s="144"/>
      <c r="C8" s="144"/>
      <c r="D8" s="145"/>
      <c r="E8" s="2"/>
      <c r="F8" s="2"/>
    </row>
    <row r="9" spans="1:6" ht="45">
      <c r="A9" s="7" t="s">
        <v>29</v>
      </c>
      <c r="B9" s="151"/>
      <c r="C9" s="151"/>
      <c r="D9" s="152"/>
      <c r="E9" s="2"/>
      <c r="F9" s="2"/>
    </row>
    <row r="10" spans="1:6" ht="15">
      <c r="A10" s="8" t="s">
        <v>30</v>
      </c>
      <c r="B10" s="148"/>
      <c r="C10" s="149"/>
      <c r="D10" s="150"/>
      <c r="E10" s="2"/>
      <c r="F10" s="2"/>
    </row>
    <row r="11" spans="1:6" ht="15.75" thickBot="1">
      <c r="A11" s="8" t="s">
        <v>31</v>
      </c>
      <c r="B11" s="148"/>
      <c r="C11" s="149"/>
      <c r="D11" s="150"/>
      <c r="E11" s="2"/>
      <c r="F11" s="2"/>
    </row>
    <row r="12" spans="1:6" ht="18.75" thickBot="1">
      <c r="A12" s="122" t="s">
        <v>32</v>
      </c>
      <c r="B12" s="123"/>
      <c r="C12" s="123"/>
      <c r="D12" s="124"/>
      <c r="E12" s="2"/>
      <c r="F12" s="2"/>
    </row>
    <row r="13" spans="1:6" ht="15.75" thickBot="1">
      <c r="A13" s="9" t="s">
        <v>1</v>
      </c>
      <c r="B13" s="146"/>
      <c r="C13" s="147"/>
      <c r="D13" s="10"/>
      <c r="E13" s="2"/>
      <c r="F13" s="2"/>
    </row>
    <row r="14" spans="1:6" ht="16.5" thickBot="1">
      <c r="A14" s="112" t="s">
        <v>33</v>
      </c>
      <c r="B14" s="131">
        <f>ROUND(IF(Pflegegeld!C14&lt;0,0,Pflegegeld!C14),0)</f>
        <v>0</v>
      </c>
      <c r="C14" s="132"/>
      <c r="D14" s="11"/>
      <c r="E14" s="2"/>
      <c r="F14" s="2"/>
    </row>
    <row r="15" spans="1:6" ht="18.75" thickBot="1">
      <c r="A15" s="122" t="s">
        <v>34</v>
      </c>
      <c r="B15" s="123"/>
      <c r="C15" s="123"/>
      <c r="D15" s="124"/>
      <c r="E15" s="2"/>
      <c r="F15" s="2"/>
    </row>
    <row r="16" spans="1:6" ht="15">
      <c r="A16" s="12" t="s">
        <v>35</v>
      </c>
      <c r="B16" s="133"/>
      <c r="C16" s="134"/>
      <c r="D16" s="135"/>
      <c r="E16" s="2"/>
      <c r="F16" s="2"/>
    </row>
    <row r="17" spans="1:6" ht="15.75" thickBot="1">
      <c r="A17" s="13" t="s">
        <v>2</v>
      </c>
      <c r="B17" s="137"/>
      <c r="C17" s="138"/>
      <c r="D17" s="135"/>
      <c r="E17" s="2"/>
      <c r="F17" s="2"/>
    </row>
    <row r="18" spans="1:6" ht="16.5" thickBot="1">
      <c r="A18" s="112" t="s">
        <v>33</v>
      </c>
      <c r="B18" s="139" t="e">
        <f>ROUND(IF(B6="j",Einkommen!D16,IF(B7="j",Einkommen!D15,IF(B8="J",Einkommen!E16,IF(Einkommen!C16&lt;0,0,Einkommen!C16)))),0)</f>
        <v>#N/A</v>
      </c>
      <c r="C18" s="140"/>
      <c r="D18" s="136"/>
      <c r="E18" s="2"/>
      <c r="F18" s="2"/>
    </row>
    <row r="19" spans="1:6" ht="15.75" thickBot="1">
      <c r="A19" s="141"/>
      <c r="B19" s="141"/>
      <c r="C19" s="141"/>
      <c r="D19" s="141"/>
      <c r="E19" s="2"/>
      <c r="F19" s="2"/>
    </row>
    <row r="20" spans="1:6" ht="18.75" thickBot="1">
      <c r="A20" s="122" t="s">
        <v>36</v>
      </c>
      <c r="B20" s="123"/>
      <c r="C20" s="123"/>
      <c r="D20" s="124"/>
      <c r="E20" s="2"/>
      <c r="F20" s="2"/>
    </row>
    <row r="21" spans="1:6" ht="15.75" thickBot="1">
      <c r="A21" s="14" t="s">
        <v>37</v>
      </c>
      <c r="B21" s="15"/>
      <c r="C21" s="16"/>
      <c r="D21" s="17"/>
      <c r="E21" s="2"/>
      <c r="F21" s="2"/>
    </row>
    <row r="22" spans="1:6" ht="16.5" thickBot="1">
      <c r="A22" s="18"/>
      <c r="B22" s="19" t="s">
        <v>38</v>
      </c>
      <c r="C22" s="20" t="s">
        <v>39</v>
      </c>
      <c r="D22" s="10"/>
      <c r="E22" s="2"/>
      <c r="F22" s="2"/>
    </row>
    <row r="23" spans="1:6" ht="15">
      <c r="A23" s="21" t="s">
        <v>40</v>
      </c>
      <c r="B23" s="22"/>
      <c r="C23" s="23"/>
      <c r="D23" s="10"/>
      <c r="E23" s="2"/>
      <c r="F23" s="2"/>
    </row>
    <row r="24" spans="1:6" ht="15">
      <c r="A24" s="24" t="s">
        <v>41</v>
      </c>
      <c r="B24" s="25"/>
      <c r="C24" s="23"/>
      <c r="D24" s="10"/>
      <c r="E24" s="2"/>
      <c r="F24" s="2"/>
    </row>
    <row r="25" spans="1:6" ht="24">
      <c r="A25" s="24" t="s">
        <v>42</v>
      </c>
      <c r="B25" s="26"/>
      <c r="C25" s="26"/>
      <c r="D25" s="27" t="str">
        <f>IF(ISBLANK(B25),"Bitte Feld eingeben!",IF(ISBLANK(C25),"Bitte Feld eingeben!",""))</f>
        <v>Bitte Feld eingeben!</v>
      </c>
      <c r="E25" s="2"/>
      <c r="F25" s="2"/>
    </row>
    <row r="26" spans="1:6" ht="15">
      <c r="A26" s="28" t="s">
        <v>43</v>
      </c>
      <c r="B26" s="29"/>
      <c r="C26" s="30"/>
      <c r="D26" s="27"/>
      <c r="E26" s="2"/>
      <c r="F26" s="2"/>
    </row>
    <row r="27" spans="1:6" ht="15">
      <c r="A27" s="24" t="s">
        <v>44</v>
      </c>
      <c r="B27" s="30"/>
      <c r="C27" s="31"/>
      <c r="D27" s="10"/>
      <c r="E27" s="2"/>
      <c r="F27" s="2"/>
    </row>
    <row r="28" spans="1:6" ht="15.75" thickBot="1">
      <c r="A28" s="32" t="s">
        <v>45</v>
      </c>
      <c r="B28" s="33"/>
      <c r="C28" s="29"/>
      <c r="D28" s="10"/>
      <c r="E28" s="2"/>
      <c r="F28" s="2"/>
    </row>
    <row r="29" spans="1:6" ht="16.5" thickBot="1">
      <c r="A29" s="113" t="s">
        <v>33</v>
      </c>
      <c r="B29" s="114">
        <f>ROUND(IF(B6="j",Unterhalt!C20,IF(B7="j",Unterhalt!D20,IF(B8="j",Unterhalt!C21,IF(Unterhalt!D18&lt;0,0,Unterhalt!D18)))),0)</f>
        <v>0</v>
      </c>
      <c r="C29" s="115">
        <f>ROUND(IF(B6="j",Unterhalt!H20,IF(B7="j",Unterhalt!G20,IF(B8="j",Unterhalt!H21,IF(Unterhalt!G18&lt;0,0,Unterhalt!G18)))),0)</f>
        <v>0</v>
      </c>
      <c r="D29" s="34"/>
      <c r="E29" s="2"/>
      <c r="F29" s="2"/>
    </row>
    <row r="30" spans="1:6" ht="15.75" thickBot="1">
      <c r="A30" s="35" t="s">
        <v>46</v>
      </c>
      <c r="B30" s="36"/>
      <c r="C30" s="36"/>
      <c r="D30" s="37"/>
      <c r="E30" s="2"/>
      <c r="F30" s="2"/>
    </row>
    <row r="31" spans="1:6" ht="15">
      <c r="A31" s="38" t="s">
        <v>47</v>
      </c>
      <c r="B31" s="125"/>
      <c r="C31" s="126"/>
      <c r="D31" s="10"/>
      <c r="E31" s="2"/>
      <c r="F31" s="2"/>
    </row>
    <row r="32" spans="1:6" ht="15">
      <c r="A32" s="24" t="s">
        <v>48</v>
      </c>
      <c r="B32" s="127"/>
      <c r="C32" s="128"/>
      <c r="D32" s="10"/>
      <c r="E32" s="2"/>
      <c r="F32" s="2"/>
    </row>
    <row r="33" spans="1:6" ht="15.75" thickBot="1">
      <c r="A33" s="39" t="s">
        <v>49</v>
      </c>
      <c r="B33" s="129"/>
      <c r="C33" s="130"/>
      <c r="D33" s="10"/>
      <c r="E33" s="2"/>
      <c r="F33" s="2"/>
    </row>
    <row r="34" spans="1:6" ht="16.5" thickBot="1">
      <c r="A34" s="112" t="s">
        <v>33</v>
      </c>
      <c r="B34" s="131">
        <f>ROUND(IF(Unterhalt!D82&lt;0,0,Unterhalt!D82),0)</f>
        <v>0</v>
      </c>
      <c r="C34" s="132"/>
      <c r="D34" s="11"/>
      <c r="E34" s="2"/>
      <c r="F34" s="2"/>
    </row>
    <row r="35" spans="1:6" ht="15.75">
      <c r="A35" s="40"/>
      <c r="B35" s="41"/>
      <c r="C35" s="41"/>
      <c r="D35" s="42"/>
      <c r="E35" s="2"/>
      <c r="F35" s="2"/>
    </row>
    <row r="36" spans="1:6" ht="15.75" hidden="1" thickBot="1">
      <c r="A36" s="43"/>
      <c r="B36" s="43"/>
      <c r="C36" s="43"/>
      <c r="D36" s="43"/>
      <c r="E36" s="2"/>
      <c r="F36" s="2"/>
    </row>
    <row r="37" spans="1:6" ht="16.5" hidden="1" thickBot="1">
      <c r="A37" s="44" t="s">
        <v>50</v>
      </c>
      <c r="B37" s="116" t="e">
        <f>B14+B18+B29+B34+C29</f>
        <v>#N/A</v>
      </c>
      <c r="C37" s="117"/>
      <c r="D37" s="118" t="b">
        <f>IF(OR(B3="j",B4="j",B6="j",B7="j",B10="j",B11="j"),(22),IF(B8="j",(31),IF(OR(B5="j",B9="j"),(31))))</f>
        <v>0</v>
      </c>
      <c r="E37" s="2"/>
      <c r="F37" s="2"/>
    </row>
    <row r="38" spans="1:6" ht="15.75" hidden="1" thickBot="1">
      <c r="A38" s="45" t="s">
        <v>51</v>
      </c>
      <c r="B38" s="120" t="b">
        <f>IF(OR(B3="j",B4="j",B6="j",B7="j",B10="j",B11="j"),(B37/22),IF(B8="j",(B37/31),IF(OR(B5="j",B9="j"),(B37/31))))</f>
        <v>0</v>
      </c>
      <c r="C38" s="121"/>
      <c r="D38" s="119"/>
      <c r="E38" s="2"/>
      <c r="F38" s="2"/>
    </row>
    <row r="39" spans="1:6" ht="15.75" hidden="1">
      <c r="A39" s="46" t="s">
        <v>3</v>
      </c>
      <c r="B39" s="47"/>
      <c r="C39" s="47"/>
      <c r="D39" s="48"/>
      <c r="E39" s="2"/>
      <c r="F39" s="2"/>
    </row>
    <row r="40" spans="1:6" ht="15" hidden="1">
      <c r="A40" s="49"/>
      <c r="B40" s="50"/>
      <c r="C40" s="50"/>
      <c r="D40" s="51"/>
      <c r="E40" s="2"/>
      <c r="F40" s="2"/>
    </row>
    <row r="41" spans="1:6" hidden="1"/>
  </sheetData>
  <sheetProtection algorithmName="SHA-512" hashValue="8hrNfuwtOmxvL0rD8cfQBmid+Ovh9w66XZUcDMmeniZbw0UtKuQ7do4t7QiIC1nbTxgVCPMDa+NT+ga/k9sF1Q==" saltValue="GZ3AW62u4PGJE7moQT0yPw==" spinCount="100000" sheet="1" objects="1" scenarios="1"/>
  <protectedRanges>
    <protectedRange sqref="B33:C33 B13:C13 B16:C17 B2:D11 B31:C31 B23:C28" name="Bereich1"/>
  </protectedRanges>
  <mergeCells count="27">
    <mergeCell ref="A12:D12"/>
    <mergeCell ref="B13:C13"/>
    <mergeCell ref="B14:C14"/>
    <mergeCell ref="A15:D15"/>
    <mergeCell ref="B7:D7"/>
    <mergeCell ref="B8:D8"/>
    <mergeCell ref="B9:D9"/>
    <mergeCell ref="B10:D10"/>
    <mergeCell ref="B11:D11"/>
    <mergeCell ref="B2:D2"/>
    <mergeCell ref="B3:D3"/>
    <mergeCell ref="B4:D4"/>
    <mergeCell ref="B5:D5"/>
    <mergeCell ref="B6:D6"/>
    <mergeCell ref="B16:C16"/>
    <mergeCell ref="D16:D18"/>
    <mergeCell ref="B17:C17"/>
    <mergeCell ref="B18:C18"/>
    <mergeCell ref="A19:D19"/>
    <mergeCell ref="B37:C37"/>
    <mergeCell ref="D37:D38"/>
    <mergeCell ref="B38:C38"/>
    <mergeCell ref="A20:D20"/>
    <mergeCell ref="B31:C31"/>
    <mergeCell ref="B32:C32"/>
    <mergeCell ref="B33:C33"/>
    <mergeCell ref="B34:C34"/>
  </mergeCells>
  <conditionalFormatting sqref="B25">
    <cfRule type="expression" dxfId="1" priority="2" stopIfTrue="1">
      <formula>ISBLANK(B25)</formula>
    </cfRule>
  </conditionalFormatting>
  <conditionalFormatting sqref="C25">
    <cfRule type="expression" dxfId="0" priority="1" stopIfTrue="1">
      <formula>ISBLANK(C25)</formula>
    </cfRule>
  </conditionalFormatting>
  <dataValidations disablePrompts="1" count="2">
    <dataValidation showInputMessage="1" showErrorMessage="1" errorTitle="Fehler" promptTitle="§ 4 (5) Kostenbeitrags-VO" prompt="Bei den Leistungen nach § 23 Abs. 1. lit. a,b und c sollte nur der &quot;Besserverdiener&quot; herangezogen werden." sqref="B27:C28"/>
    <dataValidation type="custom" showInputMessage="1" showErrorMessage="1" errorTitle="FEHLER" promptTitle="Nur Einkommen" prompt="Wenn Einkommen und Unterhalt, dann nur Einkommen." sqref="B31">
      <formula1>IF(B16&gt;0,"leer",B31)</formula1>
    </dataValidation>
  </dataValidations>
  <pageMargins left="0.7" right="0.7" top="0.78740157499999996" bottom="0.78740157499999996" header="0.3" footer="0.3"/>
  <drawing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Einkommen</vt:lpstr>
      <vt:lpstr>Pflegegeld</vt:lpstr>
      <vt:lpstr>Unterhalt</vt:lpstr>
      <vt:lpstr>Eingabeblatt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ANGERMAIR Michael</dc:creator>
  <cp:lastModifiedBy>ANGERMAIR Michael</cp:lastModifiedBy>
  <dcterms:created xsi:type="dcterms:W3CDTF">2023-02-21T09:54:16Z</dcterms:created>
  <dcterms:modified xsi:type="dcterms:W3CDTF">2025-05-15T04:54:21Z</dcterms:modified>
</cp:coreProperties>
</file>